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ne.ando\Documents\"/>
    </mc:Choice>
  </mc:AlternateContent>
  <bookViews>
    <workbookView xWindow="0" yWindow="0" windowWidth="28800" windowHeight="12430" activeTab="3"/>
  </bookViews>
  <sheets>
    <sheet name="Suivi commercialisation " sheetId="16" r:id="rId1"/>
    <sheet name="PLan (VF)" sheetId="17" r:id="rId2"/>
    <sheet name="budget Final action co" sheetId="15" r:id="rId3"/>
    <sheet name="BUDGET final - Croi Form " sheetId="10" r:id="rId4"/>
    <sheet name="Budget SAFE-OPTITEC" sheetId="12" r:id="rId5"/>
    <sheet name="PLan" sheetId="11" r:id="rId6"/>
    <sheet name="RH" sheetId="3" r:id="rId7"/>
    <sheet name="BUDGET PREV ACTION CO" sheetId="8" r:id="rId8"/>
    <sheet name="BUDGET PREV initial" sheetId="6" r:id="rId9"/>
    <sheet name="BUDGET REDUIT" sheetId="5" r:id="rId10"/>
    <sheet name="STAND 2016" sheetId="4" r:id="rId11"/>
    <sheet name="TRAITEUR" sheetId="2" r:id="rId12"/>
  </sheets>
  <definedNames>
    <definedName name="_xlnm.Print_Area" localSheetId="3">'BUDGET final - Croi Form '!$B$1:$U$30</definedName>
    <definedName name="_xlnm.Print_Area" localSheetId="7">'BUDGET PREV ACTION CO'!$B$1:$O$31</definedName>
    <definedName name="_xlnm.Print_Area" localSheetId="8">'BUDGET PREV initial'!$B$1:$O$31</definedName>
    <definedName name="_xlnm.Print_Area" localSheetId="9">'BUDGET REDUIT'!$B$1:$O$31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0" l="1"/>
  <c r="N24" i="15" l="1"/>
  <c r="C22" i="15" l="1"/>
  <c r="D19" i="16" l="1"/>
  <c r="G10" i="16"/>
  <c r="G6" i="16"/>
  <c r="F9" i="16"/>
  <c r="F8" i="16"/>
  <c r="F5" i="16"/>
  <c r="F4" i="16"/>
  <c r="F3" i="16"/>
  <c r="G7" i="16"/>
  <c r="D10" i="15" l="1"/>
  <c r="C10" i="15"/>
  <c r="D8" i="15" l="1"/>
  <c r="C8" i="15"/>
  <c r="C7" i="15"/>
  <c r="D7" i="15"/>
  <c r="C6" i="15"/>
  <c r="J9" i="16"/>
  <c r="D16" i="16"/>
  <c r="J3" i="16"/>
  <c r="J2" i="16"/>
  <c r="B16" i="16"/>
  <c r="D5" i="15"/>
  <c r="C5" i="15"/>
  <c r="D4" i="15"/>
  <c r="C4" i="15"/>
  <c r="M18" i="15"/>
  <c r="N14" i="15"/>
  <c r="M14" i="15"/>
  <c r="L15" i="15"/>
  <c r="M10" i="15"/>
  <c r="M22" i="15" l="1"/>
  <c r="N25" i="15" s="1"/>
  <c r="K4" i="16"/>
  <c r="J4" i="16"/>
  <c r="AL19" i="17"/>
  <c r="AL14" i="17"/>
  <c r="AL21" i="17" s="1"/>
  <c r="G9" i="15"/>
  <c r="G10" i="15"/>
  <c r="G8" i="15"/>
  <c r="G7" i="15"/>
  <c r="G6" i="15"/>
  <c r="G5" i="15"/>
  <c r="G4" i="15"/>
  <c r="F16" i="16"/>
  <c r="G16" i="16"/>
  <c r="H18" i="15"/>
  <c r="H17" i="15"/>
  <c r="H25" i="15"/>
  <c r="H20" i="15"/>
  <c r="D13" i="15"/>
  <c r="H24" i="15" s="1"/>
  <c r="H22" i="15"/>
  <c r="H21" i="15"/>
  <c r="H19" i="15"/>
  <c r="E16" i="16"/>
  <c r="F14" i="12"/>
  <c r="F18" i="12" s="1"/>
  <c r="F15" i="12"/>
  <c r="F13" i="12"/>
  <c r="F9" i="12"/>
  <c r="C18" i="12"/>
  <c r="C6" i="10"/>
  <c r="D5" i="10"/>
  <c r="H18" i="10" s="1"/>
  <c r="C8" i="10"/>
  <c r="H23" i="10"/>
  <c r="H24" i="10"/>
  <c r="H19" i="10"/>
  <c r="H17" i="10"/>
  <c r="C10" i="10"/>
  <c r="D10" i="10"/>
  <c r="H22" i="10" s="1"/>
  <c r="D8" i="10"/>
  <c r="H21" i="10" s="1"/>
  <c r="C7" i="10"/>
  <c r="M21" i="10"/>
  <c r="D4" i="10" s="1"/>
  <c r="M15" i="10"/>
  <c r="C4" i="10" s="1"/>
  <c r="L1" i="10"/>
  <c r="AK21" i="11"/>
  <c r="X1" i="10"/>
  <c r="X20" i="10"/>
  <c r="Z20" i="10" s="1"/>
  <c r="D6" i="10"/>
  <c r="Y6" i="10"/>
  <c r="R13" i="10"/>
  <c r="R9" i="10"/>
  <c r="V9" i="10" s="1"/>
  <c r="W11" i="10"/>
  <c r="H20" i="10"/>
  <c r="AK15" i="11"/>
  <c r="AK22" i="11" s="1"/>
  <c r="Q23" i="10"/>
  <c r="Q24" i="10"/>
  <c r="C22" i="10"/>
  <c r="X16" i="10"/>
  <c r="S23" i="10"/>
  <c r="D13" i="10"/>
  <c r="G28" i="10"/>
  <c r="V4" i="10"/>
  <c r="V1" i="10"/>
  <c r="R14" i="10" s="1"/>
  <c r="V14" i="10" s="1"/>
  <c r="V2" i="10"/>
  <c r="V13" i="10"/>
  <c r="C4" i="8"/>
  <c r="H2" i="8" s="1"/>
  <c r="H3" i="8" s="1"/>
  <c r="C5" i="8"/>
  <c r="C6" i="8"/>
  <c r="C7" i="8"/>
  <c r="C8" i="8"/>
  <c r="C9" i="8"/>
  <c r="C23" i="8"/>
  <c r="E19" i="3"/>
  <c r="G18" i="3"/>
  <c r="F18" i="3"/>
  <c r="G17" i="3"/>
  <c r="F17" i="3"/>
  <c r="G16" i="3"/>
  <c r="F16" i="3"/>
  <c r="G15" i="3"/>
  <c r="F15" i="3"/>
  <c r="G14" i="3"/>
  <c r="F14" i="3"/>
  <c r="G13" i="3"/>
  <c r="G19" i="3"/>
  <c r="F13" i="3"/>
  <c r="F19" i="3"/>
  <c r="C22" i="8" s="1"/>
  <c r="K22" i="8"/>
  <c r="K23" i="8" s="1"/>
  <c r="C21" i="8"/>
  <c r="R15" i="8"/>
  <c r="M13" i="8"/>
  <c r="M12" i="8"/>
  <c r="M22" i="8" s="1"/>
  <c r="F10" i="8"/>
  <c r="F8" i="8"/>
  <c r="F7" i="8"/>
  <c r="F5" i="8"/>
  <c r="F4" i="8"/>
  <c r="P1" i="8"/>
  <c r="L17" i="8" s="1"/>
  <c r="P17" i="8" s="1"/>
  <c r="M22" i="6"/>
  <c r="K22" i="6"/>
  <c r="K23" i="6"/>
  <c r="C19" i="6"/>
  <c r="R15" i="6"/>
  <c r="C9" i="6"/>
  <c r="F8" i="6"/>
  <c r="C8" i="6"/>
  <c r="F7" i="6"/>
  <c r="C7" i="6"/>
  <c r="F6" i="6"/>
  <c r="F5" i="6"/>
  <c r="C5" i="6"/>
  <c r="F4" i="6"/>
  <c r="C4" i="6"/>
  <c r="P1" i="6"/>
  <c r="L15" i="6" s="1"/>
  <c r="P15" i="6" s="1"/>
  <c r="F29" i="6"/>
  <c r="C7" i="5"/>
  <c r="C8" i="5"/>
  <c r="F8" i="5"/>
  <c r="F6" i="5"/>
  <c r="F4" i="5"/>
  <c r="C19" i="5"/>
  <c r="C27" i="5" s="1"/>
  <c r="C5" i="5"/>
  <c r="M22" i="5"/>
  <c r="K22" i="5"/>
  <c r="K23" i="5" s="1"/>
  <c r="C21" i="5"/>
  <c r="R15" i="5"/>
  <c r="C9" i="5"/>
  <c r="L8" i="5"/>
  <c r="P8" i="5" s="1"/>
  <c r="F7" i="5"/>
  <c r="F5" i="5"/>
  <c r="C4" i="5"/>
  <c r="P1" i="5"/>
  <c r="L10" i="5" s="1"/>
  <c r="P10" i="5" s="1"/>
  <c r="L13" i="5"/>
  <c r="P13" i="5" s="1"/>
  <c r="E9" i="3"/>
  <c r="G8" i="3"/>
  <c r="F8" i="3"/>
  <c r="G7" i="3"/>
  <c r="F7" i="3"/>
  <c r="G6" i="3"/>
  <c r="F6" i="3"/>
  <c r="G4" i="3"/>
  <c r="F4" i="3"/>
  <c r="G3" i="3"/>
  <c r="F3" i="3"/>
  <c r="F9" i="3" s="1"/>
  <c r="G9" i="3"/>
  <c r="C25" i="15" s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19" i="2" s="1"/>
  <c r="E3" i="2"/>
  <c r="F23" i="5" l="1"/>
  <c r="L2" i="5"/>
  <c r="F27" i="5"/>
  <c r="C24" i="15"/>
  <c r="C23" i="10"/>
  <c r="C20" i="6"/>
  <c r="L10" i="8"/>
  <c r="P10" i="8" s="1"/>
  <c r="L18" i="6"/>
  <c r="P18" i="6" s="1"/>
  <c r="L7" i="8"/>
  <c r="L11" i="8"/>
  <c r="P11" i="8" s="1"/>
  <c r="L19" i="8"/>
  <c r="P19" i="8" s="1"/>
  <c r="L12" i="5"/>
  <c r="P12" i="5" s="1"/>
  <c r="C27" i="8"/>
  <c r="R21" i="10"/>
  <c r="V21" i="10" s="1"/>
  <c r="L17" i="5"/>
  <c r="P17" i="5" s="1"/>
  <c r="L7" i="5"/>
  <c r="L8" i="6"/>
  <c r="P8" i="6" s="1"/>
  <c r="R16" i="10"/>
  <c r="V16" i="10" s="1"/>
  <c r="R20" i="10"/>
  <c r="V20" i="10" s="1"/>
  <c r="C5" i="10"/>
  <c r="L10" i="6"/>
  <c r="P10" i="6" s="1"/>
  <c r="L11" i="6"/>
  <c r="P11" i="6" s="1"/>
  <c r="L12" i="8"/>
  <c r="P12" i="8" s="1"/>
  <c r="L14" i="8"/>
  <c r="P14" i="8" s="1"/>
  <c r="R10" i="10"/>
  <c r="V10" i="10" s="1"/>
  <c r="R15" i="10"/>
  <c r="V15" i="10" s="1"/>
  <c r="C24" i="10"/>
  <c r="F29" i="5"/>
  <c r="L11" i="5"/>
  <c r="P11" i="5" s="1"/>
  <c r="L14" i="5"/>
  <c r="P14" i="5" s="1"/>
  <c r="L17" i="6"/>
  <c r="P17" i="6" s="1"/>
  <c r="L13" i="6"/>
  <c r="P13" i="6" s="1"/>
  <c r="L7" i="6"/>
  <c r="L20" i="6"/>
  <c r="P20" i="6" s="1"/>
  <c r="L9" i="8"/>
  <c r="P9" i="8" s="1"/>
  <c r="L18" i="8"/>
  <c r="P18" i="8" s="1"/>
  <c r="L8" i="8"/>
  <c r="P8" i="8" s="1"/>
  <c r="L15" i="8"/>
  <c r="P15" i="8" s="1"/>
  <c r="R12" i="10"/>
  <c r="V12" i="10" s="1"/>
  <c r="L19" i="5"/>
  <c r="P19" i="5" s="1"/>
  <c r="L9" i="5"/>
  <c r="P9" i="5" s="1"/>
  <c r="L20" i="5"/>
  <c r="P20" i="5" s="1"/>
  <c r="L14" i="6"/>
  <c r="P14" i="6" s="1"/>
  <c r="L9" i="6"/>
  <c r="P9" i="6" s="1"/>
  <c r="L19" i="6"/>
  <c r="P19" i="6" s="1"/>
  <c r="L13" i="8"/>
  <c r="P13" i="8" s="1"/>
  <c r="R19" i="10"/>
  <c r="V19" i="10" s="1"/>
  <c r="R11" i="10"/>
  <c r="V11" i="10" s="1"/>
  <c r="R18" i="10"/>
  <c r="V18" i="10" s="1"/>
  <c r="M22" i="10"/>
  <c r="L18" i="5"/>
  <c r="P18" i="5" s="1"/>
  <c r="L15" i="5"/>
  <c r="P15" i="5" s="1"/>
  <c r="L12" i="6"/>
  <c r="P12" i="6" s="1"/>
  <c r="C28" i="15"/>
  <c r="C27" i="10" l="1"/>
  <c r="F30" i="5"/>
  <c r="F31" i="5" s="1"/>
  <c r="L22" i="6"/>
  <c r="P7" i="6"/>
  <c r="L22" i="8"/>
  <c r="P7" i="8"/>
  <c r="M23" i="5"/>
  <c r="L23" i="5"/>
  <c r="P7" i="5"/>
  <c r="L22" i="5"/>
  <c r="V8" i="10"/>
  <c r="R23" i="10"/>
  <c r="J27" i="5"/>
  <c r="K27" i="5" s="1"/>
  <c r="C21" i="6"/>
  <c r="C27" i="6"/>
  <c r="J27" i="8"/>
  <c r="K27" i="8" s="1"/>
  <c r="L2" i="8"/>
  <c r="F23" i="8"/>
  <c r="F27" i="8" s="1"/>
  <c r="F30" i="8" s="1"/>
  <c r="F31" i="8" s="1"/>
  <c r="J2" i="10"/>
  <c r="J3" i="10" s="1"/>
  <c r="G26" i="15"/>
  <c r="G28" i="15" s="1"/>
  <c r="G30" i="15" s="1"/>
  <c r="G31" i="15" s="1"/>
  <c r="L2" i="6" l="1"/>
  <c r="F23" i="6"/>
  <c r="F27" i="6" s="1"/>
  <c r="F30" i="6" s="1"/>
  <c r="F31" i="6" s="1"/>
  <c r="L23" i="8"/>
  <c r="M23" i="8"/>
  <c r="G25" i="10"/>
  <c r="G27" i="10" s="1"/>
  <c r="G29" i="10" s="1"/>
  <c r="G30" i="10" s="1"/>
  <c r="R2" i="10"/>
  <c r="P27" i="10"/>
  <c r="Q27" i="10" s="1"/>
  <c r="S24" i="10" l="1"/>
  <c r="R24" i="10"/>
  <c r="J27" i="6"/>
  <c r="K27" i="6" s="1"/>
  <c r="M23" i="6"/>
  <c r="L23" i="6"/>
</calcChain>
</file>

<file path=xl/sharedStrings.xml><?xml version="1.0" encoding="utf-8"?>
<sst xmlns="http://schemas.openxmlformats.org/spreadsheetml/2006/main" count="809" uniqueCount="370">
  <si>
    <t>DEPENSES</t>
  </si>
  <si>
    <t>RECETTES</t>
  </si>
  <si>
    <t>Inscription catalogue officiel</t>
  </si>
  <si>
    <t>Traiteur</t>
  </si>
  <si>
    <t>RH</t>
  </si>
  <si>
    <t>Frais généraux</t>
  </si>
  <si>
    <t>€</t>
  </si>
  <si>
    <t>Goodies / plaquette</t>
  </si>
  <si>
    <t>LOGISTIQUE</t>
  </si>
  <si>
    <t>COMMUNICATION</t>
  </si>
  <si>
    <t xml:space="preserve">AUTRES </t>
  </si>
  <si>
    <t xml:space="preserve">LOCATION </t>
  </si>
  <si>
    <t>Subvention Action Croissance</t>
  </si>
  <si>
    <t>CONSOMMATION BAR sur base Bourget</t>
  </si>
  <si>
    <t>location machine à café</t>
  </si>
  <si>
    <t>location frigo</t>
  </si>
  <si>
    <t>KIT café (300 doses)</t>
  </si>
  <si>
    <t>bouilloire</t>
  </si>
  <si>
    <t>KIT thé (60 thés)</t>
  </si>
  <si>
    <t>fontaine eau</t>
  </si>
  <si>
    <t>bonbonne eau</t>
  </si>
  <si>
    <t>bouteille eau 1,5l (Par 12)</t>
  </si>
  <si>
    <t>perrier</t>
  </si>
  <si>
    <t>coca 1,5l</t>
  </si>
  <si>
    <t xml:space="preserve">jus de pomme 1l </t>
  </si>
  <si>
    <t>Verres plastiques (par 10)</t>
  </si>
  <si>
    <t>serviettes (paquet de 100)</t>
  </si>
  <si>
    <t>lingettes nettoyantes</t>
  </si>
  <si>
    <t>10 sacs poubelles 110l</t>
  </si>
  <si>
    <t>petit déjeuners (30 personnes)</t>
  </si>
  <si>
    <t>Sous-total frais bar</t>
  </si>
  <si>
    <t>TOTAL</t>
  </si>
  <si>
    <t>Forfait participation + 5 co-exp / société</t>
  </si>
  <si>
    <t>Angles</t>
  </si>
  <si>
    <t>236€ / m2 équipement fourni COGES</t>
  </si>
  <si>
    <t>Standiste espace commun</t>
  </si>
  <si>
    <t>EUROSATORY</t>
  </si>
  <si>
    <t>Coût chargé/jour</t>
  </si>
  <si>
    <t>Jours travaillés</t>
  </si>
  <si>
    <t>Coût projet</t>
  </si>
  <si>
    <t>FG affectés</t>
  </si>
  <si>
    <t>Christine</t>
  </si>
  <si>
    <t>ANDO</t>
  </si>
  <si>
    <t>Magali</t>
  </si>
  <si>
    <t>VIVIANI</t>
  </si>
  <si>
    <t>Alice</t>
  </si>
  <si>
    <t>ANGUERRA</t>
  </si>
  <si>
    <t>Evelyne</t>
  </si>
  <si>
    <t>COURBIER</t>
  </si>
  <si>
    <t xml:space="preserve">Jean-Michel </t>
  </si>
  <si>
    <t>DUMAZ</t>
  </si>
  <si>
    <t xml:space="preserve">clef usb, stickers, stylo … </t>
  </si>
  <si>
    <t>équipe x4 - hebergement 6 nuit à 90€ + 4-AR train 300€ + 6 journée repas à 60€/J</t>
  </si>
  <si>
    <t>Déplacements / Hebergement</t>
  </si>
  <si>
    <t>sur base onglet RH</t>
  </si>
  <si>
    <t xml:space="preserve">ST formation </t>
  </si>
  <si>
    <t>Objectif PACK ADH</t>
  </si>
  <si>
    <t>entre 8h30 et 9h30</t>
  </si>
  <si>
    <t>lundi 13/6</t>
  </si>
  <si>
    <t>mardi 14/6</t>
  </si>
  <si>
    <t>merc. 15/6</t>
  </si>
  <si>
    <t>jeudi 16/6</t>
  </si>
  <si>
    <t>vend. 17/6</t>
  </si>
  <si>
    <t>livraison ptt déj</t>
  </si>
  <si>
    <t>60 mini viennoiseries
3 jus d'orange 1l</t>
  </si>
  <si>
    <t>livraison open bar</t>
  </si>
  <si>
    <t>6 bouteilles d'eau 1,5l
4 perrier
3 jus d'orange
2 coca cola 1,5 l</t>
  </si>
  <si>
    <t>livraison matériel</t>
  </si>
  <si>
    <t>1 lot 50 gobelets Cristals
1 lot 100 serviettes papier
1 Kit de nettoyage (25 sacs poubelles, 2 rouleaux essuie tout, produit à votre, éponge)
1 poubelle
1 lot de 50 gobelets à thé</t>
  </si>
  <si>
    <t>1 lot 50 gobelets Cristals
1 lot 100 serviettes papier
1 lot de 50 gobelets à thé</t>
  </si>
  <si>
    <t>TOTAL HT</t>
  </si>
  <si>
    <t>POUR INFO</t>
  </si>
  <si>
    <t>le frigo, la machine à café, les dosettes cafés et réapprovisionnement, fontaine à eau et bonbonnes d'eau sont fournis par le standiste et compris dans la prestation stand.</t>
  </si>
  <si>
    <t>REEL EUROSAT 2016</t>
  </si>
  <si>
    <t>PAVILLON SAFE CLUSTER/OPTITEC</t>
  </si>
  <si>
    <t>STRUTURE</t>
  </si>
  <si>
    <t>CONTACT</t>
  </si>
  <si>
    <t>EMAIL</t>
  </si>
  <si>
    <t>FORFAIT</t>
  </si>
  <si>
    <t>m²</t>
  </si>
  <si>
    <t>SAFE CLUSTER</t>
  </si>
  <si>
    <t>forfait participation stand entre 9 et 30m² (espace accueil + coexposant)</t>
  </si>
  <si>
    <t>AIRSTAR</t>
  </si>
  <si>
    <t>Emilie Chabert</t>
  </si>
  <si>
    <t>e.chabert-bailly@airstar-light.com</t>
  </si>
  <si>
    <t>forfait participation stand &lt; à 9m²</t>
  </si>
  <si>
    <t>ATEM</t>
  </si>
  <si>
    <t>Arnaud SACKDA</t>
  </si>
  <si>
    <t>arnaud.sackda@atem.com</t>
  </si>
  <si>
    <t>WATT CONSULTING</t>
  </si>
  <si>
    <t>Benoit SCHMITT</t>
  </si>
  <si>
    <t xml:space="preserve">benoit.schmitt@watt-consulting.com </t>
  </si>
  <si>
    <t>EPCOTS</t>
  </si>
  <si>
    <t>Bertrand GARCIA</t>
  </si>
  <si>
    <t>bertrand.garcia@epcots.fr</t>
  </si>
  <si>
    <t>forfait co-exposant</t>
  </si>
  <si>
    <t>4S SECURITY</t>
  </si>
  <si>
    <t>Michel PHILIPS</t>
  </si>
  <si>
    <t xml:space="preserve">michel.philips@4s-security.fr </t>
  </si>
  <si>
    <t>SOPHIA CONSEIL</t>
  </si>
  <si>
    <t>Vincent DAVID</t>
  </si>
  <si>
    <t>partenaires@sophiaconseil.fr</t>
  </si>
  <si>
    <t>OPTITEC</t>
  </si>
  <si>
    <t>forfait participation stand &lt; à 9m² (espace accueil)</t>
  </si>
  <si>
    <t>NEXVISION</t>
  </si>
  <si>
    <t>Laurent Ammazini</t>
  </si>
  <si>
    <t>laurent.ammazini@nexvision.fr</t>
  </si>
  <si>
    <t>NOXANT</t>
  </si>
  <si>
    <t>Emmanuel Vanneau</t>
  </si>
  <si>
    <t>emmanuel.vanneau@noxant.com</t>
  </si>
  <si>
    <t>PARAMOUNT</t>
  </si>
  <si>
    <t>Gay Le Brun</t>
  </si>
  <si>
    <t>lebrun.gay@paramountgroup.com</t>
  </si>
  <si>
    <t>WILCO</t>
  </si>
  <si>
    <t>Jean-Marc Wilhelm</t>
  </si>
  <si>
    <t>wlm@wilco-international.com</t>
  </si>
  <si>
    <t>ANGLES</t>
  </si>
  <si>
    <t>TOTAL FACTURE COGES</t>
  </si>
  <si>
    <t xml:space="preserve"> TARIF </t>
  </si>
  <si>
    <t xml:space="preserve"> Prix au m² </t>
  </si>
  <si>
    <t xml:space="preserve"> TOTAL </t>
  </si>
  <si>
    <t xml:space="preserve">                           -   €</t>
  </si>
  <si>
    <t>STE 5</t>
  </si>
  <si>
    <t>STE 6</t>
  </si>
  <si>
    <t>STE 7</t>
  </si>
  <si>
    <t>STE 8</t>
  </si>
  <si>
    <t>STE 9</t>
  </si>
  <si>
    <t>STE 10</t>
  </si>
  <si>
    <t>STE 11</t>
  </si>
  <si>
    <t>STE 12</t>
  </si>
  <si>
    <t>1 stand normal équipé hors SAFE</t>
  </si>
  <si>
    <t>coùt hors SAFE</t>
  </si>
  <si>
    <t>avec Pack SAFE</t>
  </si>
  <si>
    <t>m2</t>
  </si>
  <si>
    <t>4 angles à 367€</t>
  </si>
  <si>
    <t>écran led</t>
  </si>
  <si>
    <r>
      <t xml:space="preserve">sur onglet RH </t>
    </r>
    <r>
      <rPr>
        <sz val="11"/>
        <color rgb="FFFF0000"/>
        <rFont val="Calibri"/>
        <family val="2"/>
        <scheme val="minor"/>
      </rPr>
      <t>(modifié action co)</t>
    </r>
  </si>
  <si>
    <t>STE 3 (angle)</t>
  </si>
  <si>
    <t>STE 4 (Angle)</t>
  </si>
  <si>
    <t xml:space="preserve">Co exposant </t>
  </si>
  <si>
    <t xml:space="preserve">Exposant </t>
  </si>
  <si>
    <t>Forfait participation 9 à 30m2</t>
  </si>
  <si>
    <t>Forfait participation jusqu'à 8m2</t>
  </si>
  <si>
    <t>STE 13</t>
  </si>
  <si>
    <t>Location espace stand 66m2</t>
  </si>
  <si>
    <t>Equipement stand 66m2</t>
  </si>
  <si>
    <t xml:space="preserve">ST pour OPCA + JMD </t>
  </si>
  <si>
    <t>prev bas</t>
  </si>
  <si>
    <t>equilibre action</t>
  </si>
  <si>
    <t>30,5% subvention action PME</t>
  </si>
  <si>
    <t>66m2 COGES (499€HT/nue ) -10% (350)</t>
  </si>
  <si>
    <t>STE 1(angle allée principale)</t>
  </si>
  <si>
    <t>écart avec SAFE</t>
  </si>
  <si>
    <t>Stand 9 m2 angle</t>
  </si>
  <si>
    <t>STE 2(Angle allée principale)</t>
  </si>
  <si>
    <t>2 stands 6m2 avec angle allée secondaire à 5450€</t>
  </si>
  <si>
    <t>3 stand 6 m2 à 5080€</t>
  </si>
  <si>
    <t>Stand 6m2 angle allée secondaire</t>
  </si>
  <si>
    <t>2 stand 8 m2 angle allée princ à 6920€</t>
  </si>
  <si>
    <t>SAFE ACCEUIL</t>
  </si>
  <si>
    <t xml:space="preserve">Stand 3m2 </t>
  </si>
  <si>
    <t xml:space="preserve">Stand 6m2  </t>
  </si>
  <si>
    <t>Stand  co-exp (pupitre - 2m2)</t>
  </si>
  <si>
    <t>2 stands  3m2 à 3150€</t>
  </si>
  <si>
    <t>4 stand type pupitre à 2150€</t>
  </si>
  <si>
    <t>1 stand 6 m2 à 5080€</t>
  </si>
  <si>
    <t>3 stand type pupitre à 2150€</t>
  </si>
  <si>
    <t>9 forfaits (9 sté + espace SAFE)</t>
  </si>
  <si>
    <t>8 forfaits (7 sté + espace SAFE)</t>
  </si>
  <si>
    <t>3 forfait co expo (-5/sté = 875€)</t>
  </si>
  <si>
    <t>4 forfait co expo (-5/sté = 875€)</t>
  </si>
  <si>
    <t>1 stand 8 m2 angle allée princ à 6920€</t>
  </si>
  <si>
    <t>clef usb, stickers, stylo: important pour valo sponso</t>
  </si>
  <si>
    <t>STE 2 (angle allé prin)</t>
  </si>
  <si>
    <t>Kontron</t>
  </si>
  <si>
    <t>nexvision</t>
  </si>
  <si>
    <t>1 stand 22m2 à 19500€</t>
  </si>
  <si>
    <t>LOCATION 10 entreprises</t>
  </si>
  <si>
    <t>Stand 8 m2 angle</t>
  </si>
  <si>
    <t>stand 22m2</t>
  </si>
  <si>
    <t>sophiaconseil</t>
  </si>
  <si>
    <t xml:space="preserve">12 m2 </t>
  </si>
  <si>
    <t>1 stands 6m2 avec angle allée secondaire à 5450€</t>
  </si>
  <si>
    <t xml:space="preserve">urbaco </t>
  </si>
  <si>
    <t>Forfait participation - 5 co-exp / société</t>
  </si>
  <si>
    <t>1 stand 12 M2 10530</t>
  </si>
  <si>
    <t>2 sté 22m2 et 12m2</t>
  </si>
  <si>
    <t>Presse</t>
  </si>
  <si>
    <t>Video</t>
  </si>
  <si>
    <t xml:space="preserve">Visibilité stand </t>
  </si>
  <si>
    <t xml:space="preserve">3 forfait co expo (-5/sté = 875€) / </t>
  </si>
  <si>
    <t>1 stands  3m2 à 2990€</t>
  </si>
  <si>
    <t xml:space="preserve"> 3 forfaits 518€ (3 sté + espace SAFE)</t>
  </si>
  <si>
    <t>9m2</t>
  </si>
  <si>
    <t>espace collectif</t>
  </si>
  <si>
    <t>catalogue officiel</t>
  </si>
  <si>
    <t>annuaire</t>
  </si>
  <si>
    <t>Guillaume</t>
  </si>
  <si>
    <t>Riou</t>
  </si>
  <si>
    <t>hors action co</t>
  </si>
  <si>
    <t xml:space="preserve">action co </t>
  </si>
  <si>
    <t>LOCATION adh SAFE</t>
  </si>
  <si>
    <t xml:space="preserve">Refacturation OPTITEC </t>
  </si>
  <si>
    <t>96m2 COGES (499€HT/nue ) -10% (350€)</t>
  </si>
  <si>
    <t>6m2</t>
  </si>
  <si>
    <t>Nexvision 22m2 + 1 angle</t>
  </si>
  <si>
    <t>Kontron 8m2 + 1 angle</t>
  </si>
  <si>
    <t>nue</t>
  </si>
  <si>
    <t>partage à 50%</t>
  </si>
  <si>
    <t>9% à reverser</t>
  </si>
  <si>
    <t xml:space="preserve">a commercialiser </t>
  </si>
  <si>
    <t>négo en court</t>
  </si>
  <si>
    <t>forfait participation espace collectif</t>
  </si>
  <si>
    <t>forfait participation 9 à 30m2</t>
  </si>
  <si>
    <t>forfait participation jusqu'à 8m2</t>
  </si>
  <si>
    <t>2 forfait</t>
  </si>
  <si>
    <r>
      <t xml:space="preserve">sur onglet RH </t>
    </r>
    <r>
      <rPr>
        <sz val="11"/>
        <color rgb="FFFF0000"/>
        <rFont val="Calibri"/>
        <family val="2"/>
        <scheme val="minor"/>
      </rPr>
      <t>(modifier action co)</t>
    </r>
  </si>
  <si>
    <t>signé</t>
  </si>
  <si>
    <t>3 angles</t>
  </si>
  <si>
    <t>refacturation angle</t>
  </si>
  <si>
    <t>optitec (D)</t>
  </si>
  <si>
    <t>action ©</t>
  </si>
  <si>
    <t>30,5% subvention CROI PME</t>
  </si>
  <si>
    <t>négo en court (16900 à 50%)</t>
  </si>
  <si>
    <t>QUI</t>
  </si>
  <si>
    <t>Etat</t>
  </si>
  <si>
    <t>Nexvision</t>
  </si>
  <si>
    <t>Geomathys</t>
  </si>
  <si>
    <t>Nexvision (angle AP)</t>
  </si>
  <si>
    <t>Kontron (Angle AP)</t>
  </si>
  <si>
    <t>Signé</t>
  </si>
  <si>
    <t>UAVIA</t>
  </si>
  <si>
    <t>TBC</t>
  </si>
  <si>
    <t>UAVIA (angle)</t>
  </si>
  <si>
    <t xml:space="preserve">devis </t>
  </si>
  <si>
    <t xml:space="preserve">assystem </t>
  </si>
  <si>
    <t>JCPX</t>
  </si>
  <si>
    <t xml:space="preserve">Sophia conseil </t>
  </si>
  <si>
    <t xml:space="preserve">acceuil </t>
  </si>
  <si>
    <t>SAFE</t>
  </si>
  <si>
    <t>Optitec</t>
  </si>
  <si>
    <t>Total</t>
  </si>
  <si>
    <t xml:space="preserve">Total </t>
  </si>
  <si>
    <t>devis attend retour</t>
  </si>
  <si>
    <t>faire devis</t>
  </si>
  <si>
    <t>accord mail devis attend signature</t>
  </si>
  <si>
    <t>construire offre nomade</t>
  </si>
  <si>
    <t>22M2</t>
  </si>
  <si>
    <t>8m2</t>
  </si>
  <si>
    <t>GEOMATHYS</t>
  </si>
  <si>
    <t>Assystem</t>
  </si>
  <si>
    <t>MKU</t>
  </si>
  <si>
    <t>Scania</t>
  </si>
  <si>
    <t xml:space="preserve">DUPONT </t>
  </si>
  <si>
    <t>9m2 UAVIA +1 angle</t>
  </si>
  <si>
    <t>Assystem 6m2</t>
  </si>
  <si>
    <t>Geomathys 6m2</t>
  </si>
  <si>
    <t>Equipement stand 91m2</t>
  </si>
  <si>
    <t>a commercialiser  (8250€ 9m2)</t>
  </si>
  <si>
    <t>15m2</t>
  </si>
  <si>
    <t>6M2</t>
  </si>
  <si>
    <t xml:space="preserve">devis attend retour </t>
  </si>
  <si>
    <t>913€ pour acceuil partagé à 50%</t>
  </si>
  <si>
    <t>TBC France 14m2 + angle</t>
  </si>
  <si>
    <t xml:space="preserve">Location espace stand </t>
  </si>
  <si>
    <t>Forfait acceuil SAFE/optitec</t>
  </si>
  <si>
    <t>TDM</t>
  </si>
  <si>
    <t>EPCOT +angle</t>
  </si>
  <si>
    <t>SYT (AngleAP)</t>
  </si>
  <si>
    <t>Acceuil</t>
  </si>
  <si>
    <t>TDM + angle</t>
  </si>
  <si>
    <t>X</t>
  </si>
  <si>
    <t xml:space="preserve">non </t>
  </si>
  <si>
    <t xml:space="preserve">EPCOT </t>
  </si>
  <si>
    <t>cout SAFE</t>
  </si>
  <si>
    <t>cout safe 2m2</t>
  </si>
  <si>
    <t>prix revent ém2</t>
  </si>
  <si>
    <t>2m2</t>
  </si>
  <si>
    <t>Sophia conseil</t>
  </si>
  <si>
    <t>reserve 2M2</t>
  </si>
  <si>
    <t>2M2</t>
  </si>
  <si>
    <t>96m2</t>
  </si>
  <si>
    <t>X2M2</t>
  </si>
  <si>
    <t>X2m2</t>
  </si>
  <si>
    <t>acceuil 4m2</t>
  </si>
  <si>
    <t>236€ /m2 équipement fourni COGES</t>
  </si>
  <si>
    <t>913 * 3 SAFE</t>
  </si>
  <si>
    <t>518 * 7 SAFE +2OPTITEC</t>
  </si>
  <si>
    <t xml:space="preserve">(-5/sté = 875€) </t>
  </si>
  <si>
    <t>367 * 4 SAFE + 2 OPTITEC</t>
  </si>
  <si>
    <t>tasse - bloc note partage à 50%</t>
  </si>
  <si>
    <t>Visibilité stand - intérêt optitec  à mutualiser !</t>
  </si>
  <si>
    <t>2 angles</t>
  </si>
  <si>
    <t>Logistique</t>
  </si>
  <si>
    <t>Goodies</t>
  </si>
  <si>
    <t>Espace nue</t>
  </si>
  <si>
    <t xml:space="preserve">Equipement stand </t>
  </si>
  <si>
    <t>18 m2 *236€</t>
  </si>
  <si>
    <t>18 m2 * 350€</t>
  </si>
  <si>
    <t>LOUNGE DO</t>
  </si>
  <si>
    <t>Sophia Conseil 2m2</t>
  </si>
  <si>
    <t>96m2 COGES (499€HT/nue ) -10% (350€) (18m2 optitec / 78m2 SAFE)</t>
  </si>
  <si>
    <t>Reserve</t>
  </si>
  <si>
    <t xml:space="preserve">ACCEUIL </t>
  </si>
  <si>
    <t>BAR ?</t>
  </si>
  <si>
    <t>ECRAN ?</t>
  </si>
  <si>
    <t>LOCATION</t>
  </si>
  <si>
    <t>GEOMATYS</t>
  </si>
  <si>
    <t>sub région</t>
  </si>
  <si>
    <t>KONTRON</t>
  </si>
  <si>
    <t>ASSYSTEM TECHNOLOGIES</t>
  </si>
  <si>
    <t>TBC France SAS</t>
  </si>
  <si>
    <t xml:space="preserve">paiements </t>
  </si>
  <si>
    <t>soldes</t>
  </si>
  <si>
    <t xml:space="preserve">SAFE </t>
  </si>
  <si>
    <t xml:space="preserve">QUI </t>
  </si>
  <si>
    <t>Geomatys</t>
  </si>
  <si>
    <t xml:space="preserve">EPCOTS </t>
  </si>
  <si>
    <t>6,25m2</t>
  </si>
  <si>
    <t>8,75m2</t>
  </si>
  <si>
    <t>Sophia Conseil</t>
  </si>
  <si>
    <t>Showroom vidéo</t>
  </si>
  <si>
    <t>Uavia</t>
  </si>
  <si>
    <t>5m2</t>
  </si>
  <si>
    <t xml:space="preserve">Assystem </t>
  </si>
  <si>
    <t>table ?</t>
  </si>
  <si>
    <t xml:space="preserve">Showroom Video </t>
  </si>
  <si>
    <t xml:space="preserve">IRTS </t>
  </si>
  <si>
    <t>8m²</t>
  </si>
  <si>
    <t xml:space="preserve">Acceuil </t>
  </si>
  <si>
    <t>IRTS</t>
  </si>
  <si>
    <t>18m2</t>
  </si>
  <si>
    <t xml:space="preserve">TOTAL </t>
  </si>
  <si>
    <t>accueil SAFE</t>
  </si>
  <si>
    <t>OPTITEC (2ent)</t>
  </si>
  <si>
    <t>entreprises</t>
  </si>
  <si>
    <t>96m2 COGES (499€HT/nue ) -10% (450€)</t>
  </si>
  <si>
    <t>66m2 COGES (499€HT/nue ) -10% (450)</t>
  </si>
  <si>
    <t>alban</t>
  </si>
  <si>
    <t>déduction espace photo</t>
  </si>
  <si>
    <t>pack forfait</t>
  </si>
  <si>
    <t>jusqu'à 8</t>
  </si>
  <si>
    <t xml:space="preserve">9 à 30 </t>
  </si>
  <si>
    <t>EPCOT</t>
  </si>
  <si>
    <t>pack jusq'à 8m2</t>
  </si>
  <si>
    <t>pack 9 à 30 m2</t>
  </si>
  <si>
    <t>angle</t>
  </si>
  <si>
    <t>913 * 4 SAFE / 1 OPTITEC</t>
  </si>
  <si>
    <t>518 * 5 SAFE +1OPTITEC</t>
  </si>
  <si>
    <t xml:space="preserve">518€ chacun </t>
  </si>
  <si>
    <t>367 * 5 SAFE + 2 OPTITEC</t>
  </si>
  <si>
    <t>facture en court</t>
  </si>
  <si>
    <t>montant HT</t>
  </si>
  <si>
    <t>reste  à facturer</t>
  </si>
  <si>
    <t xml:space="preserve">COGES stand </t>
  </si>
  <si>
    <t xml:space="preserve">en court </t>
  </si>
  <si>
    <t xml:space="preserve">montant HT </t>
  </si>
  <si>
    <t>paiements</t>
  </si>
  <si>
    <t xml:space="preserve">soldes </t>
  </si>
  <si>
    <t>Paiement / RECETTES</t>
  </si>
  <si>
    <t xml:space="preserve">Facturation / DEPENSES </t>
  </si>
  <si>
    <t xml:space="preserve">Détails </t>
  </si>
  <si>
    <t>116m2 location</t>
  </si>
  <si>
    <t xml:space="preserve">Traiteur </t>
  </si>
  <si>
    <t xml:space="preserve">goodies </t>
  </si>
  <si>
    <t xml:space="preserve">videos </t>
  </si>
  <si>
    <t>déplacements</t>
  </si>
  <si>
    <t>hebergement</t>
  </si>
  <si>
    <t xml:space="preserve">Déplacement </t>
  </si>
  <si>
    <t xml:space="preserve">herbergement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</si>
</sst>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E7FD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9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0" fillId="6" borderId="1" xfId="0" applyFill="1" applyBorder="1"/>
    <xf numFmtId="0" fontId="0" fillId="0" borderId="1" xfId="0" applyFill="1" applyBorder="1" applyAlignment="1">
      <alignment wrapText="1"/>
    </xf>
    <xf numFmtId="3" fontId="0" fillId="0" borderId="0" xfId="0" applyNumberFormat="1"/>
    <xf numFmtId="3" fontId="2" fillId="0" borderId="0" xfId="0" applyNumberFormat="1" applyFont="1"/>
    <xf numFmtId="0" fontId="5" fillId="0" borderId="0" xfId="0" applyFont="1" applyAlignment="1">
      <alignment horizontal="justify" vertical="center" wrapText="1"/>
    </xf>
    <xf numFmtId="0" fontId="6" fillId="0" borderId="1" xfId="0" applyFont="1" applyFill="1" applyBorder="1"/>
    <xf numFmtId="164" fontId="0" fillId="0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4" fontId="0" fillId="5" borderId="0" xfId="1" applyFont="1" applyFill="1" applyAlignment="1">
      <alignment horizontal="center"/>
    </xf>
    <xf numFmtId="0" fontId="2" fillId="5" borderId="0" xfId="0" applyFont="1" applyFill="1"/>
    <xf numFmtId="44" fontId="2" fillId="5" borderId="0" xfId="1" applyFont="1" applyFill="1" applyAlignment="1">
      <alignment horizont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8" fontId="8" fillId="0" borderId="1" xfId="0" applyNumberFormat="1" applyFont="1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0" xfId="0"/>
    <xf numFmtId="0" fontId="2" fillId="0" borderId="0" xfId="0" applyFont="1"/>
    <xf numFmtId="0" fontId="2" fillId="0" borderId="1" xfId="0" applyFont="1" applyFill="1" applyBorder="1"/>
    <xf numFmtId="8" fontId="0" fillId="0" borderId="0" xfId="0" applyNumberFormat="1"/>
    <xf numFmtId="0" fontId="7" fillId="0" borderId="0" xfId="0" applyFont="1" applyFill="1"/>
    <xf numFmtId="0" fontId="2" fillId="7" borderId="0" xfId="0" applyFont="1" applyFill="1"/>
    <xf numFmtId="164" fontId="7" fillId="7" borderId="0" xfId="0" applyNumberFormat="1" applyFont="1" applyFill="1"/>
    <xf numFmtId="0" fontId="11" fillId="7" borderId="0" xfId="0" applyFont="1" applyFill="1"/>
    <xf numFmtId="164" fontId="11" fillId="7" borderId="0" xfId="1" applyNumberFormat="1" applyFont="1" applyFill="1"/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164" fontId="11" fillId="7" borderId="1" xfId="0" applyNumberFormat="1" applyFont="1" applyFill="1" applyBorder="1"/>
    <xf numFmtId="0" fontId="11" fillId="0" borderId="0" xfId="0" applyFont="1" applyFill="1" applyBorder="1"/>
    <xf numFmtId="0" fontId="2" fillId="0" borderId="1" xfId="0" applyFont="1" applyFill="1" applyBorder="1" applyAlignment="1">
      <alignment horizontal="center"/>
    </xf>
    <xf numFmtId="164" fontId="11" fillId="0" borderId="1" xfId="1" applyNumberFormat="1" applyFont="1" applyFill="1" applyBorder="1"/>
    <xf numFmtId="164" fontId="11" fillId="6" borderId="1" xfId="0" applyNumberFormat="1" applyFont="1" applyFill="1" applyBorder="1"/>
    <xf numFmtId="0" fontId="2" fillId="7" borderId="6" xfId="0" applyFont="1" applyFill="1" applyBorder="1"/>
    <xf numFmtId="164" fontId="11" fillId="0" borderId="1" xfId="1" applyNumberFormat="1" applyFont="1" applyBorder="1"/>
    <xf numFmtId="164" fontId="11" fillId="0" borderId="0" xfId="1" applyNumberFormat="1" applyFont="1"/>
    <xf numFmtId="164" fontId="14" fillId="6" borderId="1" xfId="1" applyNumberFormat="1" applyFont="1" applyFill="1" applyBorder="1"/>
    <xf numFmtId="0" fontId="9" fillId="9" borderId="0" xfId="0" applyFont="1" applyFill="1"/>
    <xf numFmtId="164" fontId="7" fillId="9" borderId="0" xfId="1" applyNumberFormat="1" applyFont="1" applyFill="1"/>
    <xf numFmtId="0" fontId="0" fillId="0" borderId="1" xfId="0" applyFill="1" applyBorder="1" applyAlignment="1">
      <alignment horizontal="left" vertical="top" wrapText="1"/>
    </xf>
    <xf numFmtId="164" fontId="7" fillId="0" borderId="0" xfId="0" applyNumberFormat="1" applyFont="1" applyFill="1"/>
    <xf numFmtId="0" fontId="2" fillId="0" borderId="6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12" fillId="0" borderId="0" xfId="0" applyFont="1" applyFill="1" applyBorder="1"/>
    <xf numFmtId="164" fontId="0" fillId="0" borderId="1" xfId="0" applyNumberFormat="1" applyFill="1" applyBorder="1" applyAlignment="1"/>
    <xf numFmtId="164" fontId="0" fillId="0" borderId="1" xfId="0" applyNumberFormat="1" applyFill="1" applyBorder="1"/>
    <xf numFmtId="0" fontId="0" fillId="7" borderId="7" xfId="0" applyFill="1" applyBorder="1" applyAlignment="1">
      <alignment horizontal="center"/>
    </xf>
    <xf numFmtId="164" fontId="11" fillId="7" borderId="7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164" fontId="11" fillId="0" borderId="0" xfId="0" applyNumberFormat="1" applyFont="1" applyFill="1" applyBorder="1"/>
    <xf numFmtId="164" fontId="11" fillId="0" borderId="0" xfId="1" applyNumberFormat="1" applyFont="1" applyFill="1" applyBorder="1"/>
    <xf numFmtId="164" fontId="7" fillId="0" borderId="0" xfId="0" applyNumberFormat="1" applyFont="1" applyFill="1" applyBorder="1"/>
    <xf numFmtId="0" fontId="0" fillId="3" borderId="0" xfId="0" applyFill="1" applyAlignment="1">
      <alignment horizontal="center"/>
    </xf>
    <xf numFmtId="0" fontId="7" fillId="7" borderId="0" xfId="0" applyNumberFormat="1" applyFont="1" applyFill="1"/>
    <xf numFmtId="0" fontId="0" fillId="0" borderId="1" xfId="0" applyFill="1" applyBorder="1" applyAlignment="1">
      <alignment horizontal="left"/>
    </xf>
    <xf numFmtId="0" fontId="0" fillId="8" borderId="1" xfId="0" applyFill="1" applyBorder="1" applyAlignment="1">
      <alignment horizontal="left" vertical="top" wrapText="1"/>
    </xf>
    <xf numFmtId="164" fontId="0" fillId="8" borderId="1" xfId="0" applyNumberFormat="1" applyFill="1" applyBorder="1" applyAlignment="1"/>
    <xf numFmtId="0" fontId="12" fillId="9" borderId="0" xfId="0" applyFont="1" applyFill="1"/>
    <xf numFmtId="164" fontId="14" fillId="9" borderId="0" xfId="1" applyNumberFormat="1" applyFont="1" applyFill="1"/>
    <xf numFmtId="0" fontId="0" fillId="11" borderId="1" xfId="0" applyFill="1" applyBorder="1" applyAlignment="1">
      <alignment wrapText="1"/>
    </xf>
    <xf numFmtId="0" fontId="0" fillId="11" borderId="1" xfId="0" applyFill="1" applyBorder="1"/>
    <xf numFmtId="0" fontId="0" fillId="0" borderId="6" xfId="0" applyFill="1" applyBorder="1"/>
    <xf numFmtId="0" fontId="0" fillId="10" borderId="1" xfId="0" applyFill="1" applyBorder="1"/>
    <xf numFmtId="164" fontId="11" fillId="12" borderId="1" xfId="1" applyNumberFormat="1" applyFont="1" applyFill="1" applyBorder="1"/>
    <xf numFmtId="3" fontId="9" fillId="0" borderId="0" xfId="0" applyNumberFormat="1" applyFont="1"/>
    <xf numFmtId="164" fontId="11" fillId="8" borderId="1" xfId="1" applyNumberFormat="1" applyFont="1" applyFill="1" applyBorder="1"/>
    <xf numFmtId="0" fontId="0" fillId="8" borderId="1" xfId="0" applyFill="1" applyBorder="1" applyAlignment="1">
      <alignment wrapText="1"/>
    </xf>
    <xf numFmtId="0" fontId="2" fillId="13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6" fontId="11" fillId="0" borderId="1" xfId="0" applyNumberFormat="1" applyFont="1" applyFill="1" applyBorder="1" applyAlignment="1">
      <alignment horizontal="left" vertical="center" wrapText="1"/>
    </xf>
    <xf numFmtId="6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6" fontId="0" fillId="0" borderId="1" xfId="0" applyNumberFormat="1" applyFill="1" applyBorder="1" applyAlignment="1">
      <alignment wrapText="1"/>
    </xf>
    <xf numFmtId="164" fontId="11" fillId="14" borderId="1" xfId="1" applyNumberFormat="1" applyFont="1" applyFill="1" applyBorder="1"/>
    <xf numFmtId="164" fontId="10" fillId="0" borderId="1" xfId="1" applyNumberFormat="1" applyFont="1" applyFill="1" applyBorder="1"/>
    <xf numFmtId="164" fontId="11" fillId="0" borderId="1" xfId="0" applyNumberFormat="1" applyFont="1" applyFill="1" applyBorder="1" applyAlignment="1"/>
    <xf numFmtId="164" fontId="11" fillId="0" borderId="1" xfId="0" applyNumberFormat="1" applyFont="1" applyFill="1" applyBorder="1"/>
    <xf numFmtId="164" fontId="11" fillId="0" borderId="1" xfId="1" applyNumberFormat="1" applyFont="1" applyFill="1" applyBorder="1" applyAlignment="1">
      <alignment horizontal="left"/>
    </xf>
    <xf numFmtId="0" fontId="0" fillId="0" borderId="8" xfId="0" applyFill="1" applyBorder="1"/>
    <xf numFmtId="0" fontId="0" fillId="6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right"/>
    </xf>
    <xf numFmtId="0" fontId="15" fillId="1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0" fillId="11" borderId="0" xfId="0" applyFill="1" applyBorder="1"/>
    <xf numFmtId="0" fontId="19" fillId="11" borderId="0" xfId="0" applyFont="1" applyFill="1" applyBorder="1"/>
    <xf numFmtId="0" fontId="0" fillId="16" borderId="0" xfId="0" applyFill="1" applyBorder="1"/>
    <xf numFmtId="0" fontId="0" fillId="16" borderId="5" xfId="0" applyFill="1" applyBorder="1"/>
    <xf numFmtId="0" fontId="19" fillId="16" borderId="0" xfId="0" applyFont="1" applyFill="1" applyBorder="1"/>
    <xf numFmtId="0" fontId="0" fillId="16" borderId="12" xfId="0" applyFill="1" applyBorder="1"/>
    <xf numFmtId="0" fontId="0" fillId="17" borderId="0" xfId="0" applyFill="1" applyBorder="1"/>
    <xf numFmtId="0" fontId="0" fillId="17" borderId="5" xfId="0" applyFill="1" applyBorder="1"/>
    <xf numFmtId="0" fontId="0" fillId="17" borderId="12" xfId="0" applyFill="1" applyBorder="1"/>
    <xf numFmtId="0" fontId="7" fillId="17" borderId="12" xfId="0" applyFont="1" applyFill="1" applyBorder="1" applyAlignment="1">
      <alignment horizontal="center" vertical="center"/>
    </xf>
    <xf numFmtId="0" fontId="19" fillId="17" borderId="0" xfId="0" applyFont="1" applyFill="1" applyBorder="1"/>
    <xf numFmtId="0" fontId="0" fillId="17" borderId="14" xfId="0" applyFill="1" applyBorder="1"/>
    <xf numFmtId="0" fontId="0" fillId="17" borderId="15" xfId="0" applyFill="1" applyBorder="1"/>
    <xf numFmtId="0" fontId="0" fillId="17" borderId="22" xfId="0" applyFill="1" applyBorder="1"/>
    <xf numFmtId="0" fontId="0" fillId="17" borderId="8" xfId="0" applyFill="1" applyBorder="1"/>
    <xf numFmtId="0" fontId="0" fillId="17" borderId="13" xfId="0" applyFill="1" applyBorder="1"/>
    <xf numFmtId="0" fontId="7" fillId="17" borderId="8" xfId="0" applyFont="1" applyFill="1" applyBorder="1" applyAlignment="1">
      <alignment horizontal="center" vertical="center"/>
    </xf>
    <xf numFmtId="0" fontId="0" fillId="17" borderId="24" xfId="0" applyFill="1" applyBorder="1"/>
    <xf numFmtId="0" fontId="0" fillId="17" borderId="16" xfId="0" applyFill="1" applyBorder="1"/>
    <xf numFmtId="0" fontId="7" fillId="17" borderId="0" xfId="0" applyFont="1" applyFill="1" applyBorder="1" applyAlignment="1">
      <alignment horizontal="center" vertical="center"/>
    </xf>
    <xf numFmtId="0" fontId="0" fillId="17" borderId="23" xfId="0" applyFill="1" applyBorder="1"/>
    <xf numFmtId="0" fontId="0" fillId="17" borderId="2" xfId="0" applyFill="1" applyBorder="1"/>
    <xf numFmtId="0" fontId="7" fillId="17" borderId="2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1" borderId="0" xfId="0" applyFont="1" applyFill="1" applyBorder="1"/>
    <xf numFmtId="0" fontId="9" fillId="11" borderId="13" xfId="0" applyFont="1" applyFill="1" applyBorder="1"/>
    <xf numFmtId="0" fontId="0" fillId="0" borderId="1" xfId="0" applyNumberFormat="1" applyFill="1" applyBorder="1" applyAlignment="1">
      <alignment horizontal="center"/>
    </xf>
    <xf numFmtId="0" fontId="0" fillId="11" borderId="25" xfId="0" applyFill="1" applyBorder="1"/>
    <xf numFmtId="0" fontId="0" fillId="11" borderId="26" xfId="0" applyFill="1" applyBorder="1"/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0" fontId="17" fillId="11" borderId="18" xfId="0" applyFont="1" applyFill="1" applyBorder="1"/>
    <xf numFmtId="0" fontId="17" fillId="11" borderId="26" xfId="0" applyFont="1" applyFill="1" applyBorder="1"/>
    <xf numFmtId="0" fontId="17" fillId="11" borderId="27" xfId="0" applyFont="1" applyFill="1" applyBorder="1"/>
    <xf numFmtId="0" fontId="17" fillId="0" borderId="0" xfId="0" applyFont="1"/>
    <xf numFmtId="0" fontId="17" fillId="11" borderId="25" xfId="0" applyFont="1" applyFill="1" applyBorder="1"/>
    <xf numFmtId="0" fontId="9" fillId="11" borderId="12" xfId="0" applyFont="1" applyFill="1" applyBorder="1"/>
    <xf numFmtId="0" fontId="0" fillId="0" borderId="4" xfId="0" applyFill="1" applyBorder="1"/>
    <xf numFmtId="0" fontId="9" fillId="11" borderId="9" xfId="0" applyFont="1" applyFill="1" applyBorder="1"/>
    <xf numFmtId="0" fontId="9" fillId="11" borderId="10" xfId="0" applyFont="1" applyFill="1" applyBorder="1"/>
    <xf numFmtId="0" fontId="9" fillId="11" borderId="11" xfId="0" applyFont="1" applyFill="1" applyBorder="1"/>
    <xf numFmtId="16" fontId="9" fillId="11" borderId="0" xfId="0" applyNumberFormat="1" applyFont="1" applyFill="1" applyBorder="1"/>
    <xf numFmtId="0" fontId="9" fillId="11" borderId="14" xfId="0" applyFont="1" applyFill="1" applyBorder="1"/>
    <xf numFmtId="0" fontId="9" fillId="11" borderId="15" xfId="0" applyFont="1" applyFill="1" applyBorder="1"/>
    <xf numFmtId="0" fontId="9" fillId="11" borderId="16" xfId="0" applyFont="1" applyFill="1" applyBorder="1"/>
    <xf numFmtId="0" fontId="21" fillId="10" borderId="0" xfId="0" applyFont="1" applyFill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9" fillId="17" borderId="12" xfId="0" applyFont="1" applyFill="1" applyBorder="1"/>
    <xf numFmtId="0" fontId="17" fillId="11" borderId="0" xfId="0" applyFont="1" applyFill="1" applyBorder="1"/>
    <xf numFmtId="0" fontId="7" fillId="11" borderId="0" xfId="0" applyFont="1" applyFill="1" applyBorder="1" applyAlignment="1">
      <alignment horizontal="center" vertical="center"/>
    </xf>
    <xf numFmtId="0" fontId="18" fillId="11" borderId="0" xfId="0" applyFont="1" applyFill="1" applyBorder="1"/>
    <xf numFmtId="0" fontId="9" fillId="14" borderId="20" xfId="0" applyFont="1" applyFill="1" applyBorder="1"/>
    <xf numFmtId="0" fontId="9" fillId="14" borderId="2" xfId="0" applyFont="1" applyFill="1" applyBorder="1"/>
    <xf numFmtId="0" fontId="0" fillId="14" borderId="0" xfId="0" applyFill="1" applyBorder="1"/>
    <xf numFmtId="0" fontId="0" fillId="14" borderId="8" xfId="0" applyFill="1" applyBorder="1"/>
    <xf numFmtId="0" fontId="0" fillId="14" borderId="5" xfId="0" applyFill="1" applyBorder="1"/>
    <xf numFmtId="0" fontId="0" fillId="11" borderId="8" xfId="0" applyFill="1" applyBorder="1"/>
    <xf numFmtId="0" fontId="0" fillId="11" borderId="5" xfId="0" applyFill="1" applyBorder="1"/>
    <xf numFmtId="0" fontId="7" fillId="11" borderId="8" xfId="0" applyFont="1" applyFill="1" applyBorder="1" applyAlignment="1">
      <alignment horizontal="center" vertical="center"/>
    </xf>
    <xf numFmtId="0" fontId="0" fillId="11" borderId="21" xfId="0" applyFill="1" applyBorder="1"/>
    <xf numFmtId="0" fontId="0" fillId="11" borderId="2" xfId="0" applyFill="1" applyBorder="1"/>
    <xf numFmtId="0" fontId="0" fillId="11" borderId="31" xfId="0" applyFill="1" applyBorder="1"/>
    <xf numFmtId="0" fontId="0" fillId="16" borderId="14" xfId="0" applyFill="1" applyBorder="1"/>
    <xf numFmtId="0" fontId="0" fillId="16" borderId="15" xfId="0" applyFill="1" applyBorder="1"/>
    <xf numFmtId="0" fontId="0" fillId="16" borderId="22" xfId="0" applyFill="1" applyBorder="1"/>
    <xf numFmtId="164" fontId="10" fillId="2" borderId="1" xfId="1" applyNumberFormat="1" applyFont="1" applyFill="1" applyBorder="1"/>
    <xf numFmtId="0" fontId="9" fillId="16" borderId="0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9" fillId="14" borderId="28" xfId="0" applyFont="1" applyFill="1" applyBorder="1"/>
    <xf numFmtId="0" fontId="9" fillId="18" borderId="20" xfId="0" applyFont="1" applyFill="1" applyBorder="1"/>
    <xf numFmtId="0" fontId="9" fillId="18" borderId="0" xfId="0" applyFont="1" applyFill="1" applyBorder="1"/>
    <xf numFmtId="0" fontId="0" fillId="18" borderId="0" xfId="0" applyFill="1" applyBorder="1"/>
    <xf numFmtId="0" fontId="19" fillId="18" borderId="0" xfId="0" applyFont="1" applyFill="1" applyBorder="1"/>
    <xf numFmtId="0" fontId="9" fillId="18" borderId="5" xfId="0" applyFont="1" applyFill="1" applyBorder="1"/>
    <xf numFmtId="0" fontId="9" fillId="18" borderId="8" xfId="0" applyFont="1" applyFill="1" applyBorder="1"/>
    <xf numFmtId="0" fontId="9" fillId="18" borderId="21" xfId="0" applyFont="1" applyFill="1" applyBorder="1"/>
    <xf numFmtId="0" fontId="9" fillId="18" borderId="2" xfId="0" applyFont="1" applyFill="1" applyBorder="1"/>
    <xf numFmtId="0" fontId="9" fillId="18" borderId="31" xfId="0" applyFont="1" applyFill="1" applyBorder="1"/>
    <xf numFmtId="0" fontId="0" fillId="18" borderId="20" xfId="0" applyFill="1" applyBorder="1"/>
    <xf numFmtId="0" fontId="9" fillId="18" borderId="20" xfId="0" applyFont="1" applyFill="1" applyBorder="1" applyAlignment="1">
      <alignment horizontal="center" vertical="center"/>
    </xf>
    <xf numFmtId="0" fontId="0" fillId="18" borderId="30" xfId="0" applyFill="1" applyBorder="1"/>
    <xf numFmtId="0" fontId="20" fillId="11" borderId="0" xfId="0" applyFont="1" applyFill="1" applyBorder="1"/>
    <xf numFmtId="0" fontId="9" fillId="11" borderId="0" xfId="0" applyFont="1" applyFill="1" applyBorder="1" applyAlignment="1">
      <alignment horizontal="center" vertical="center"/>
    </xf>
    <xf numFmtId="0" fontId="23" fillId="17" borderId="0" xfId="0" applyFont="1" applyFill="1" applyBorder="1"/>
    <xf numFmtId="0" fontId="2" fillId="0" borderId="1" xfId="0" applyFont="1" applyFill="1" applyBorder="1" applyAlignment="1">
      <alignment vertical="center" textRotation="90"/>
    </xf>
    <xf numFmtId="0" fontId="0" fillId="0" borderId="1" xfId="0" applyBorder="1" applyAlignment="1">
      <alignment horizontal="center"/>
    </xf>
    <xf numFmtId="0" fontId="0" fillId="17" borderId="28" xfId="0" applyFill="1" applyBorder="1"/>
    <xf numFmtId="0" fontId="0" fillId="17" borderId="20" xfId="0" applyFill="1" applyBorder="1"/>
    <xf numFmtId="0" fontId="7" fillId="17" borderId="20" xfId="0" applyFont="1" applyFill="1" applyBorder="1" applyAlignment="1">
      <alignment horizontal="center" vertical="center"/>
    </xf>
    <xf numFmtId="0" fontId="0" fillId="17" borderId="30" xfId="0" applyFill="1" applyBorder="1"/>
    <xf numFmtId="0" fontId="9" fillId="17" borderId="8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7" borderId="8" xfId="0" applyFont="1" applyFill="1" applyBorder="1"/>
    <xf numFmtId="0" fontId="9" fillId="17" borderId="0" xfId="0" applyFont="1" applyFill="1" applyBorder="1"/>
    <xf numFmtId="0" fontId="9" fillId="17" borderId="21" xfId="0" applyFont="1" applyFill="1" applyBorder="1"/>
    <xf numFmtId="0" fontId="9" fillId="17" borderId="2" xfId="0" applyFont="1" applyFill="1" applyBorder="1"/>
    <xf numFmtId="0" fontId="9" fillId="17" borderId="20" xfId="0" applyFont="1" applyFill="1" applyBorder="1" applyAlignment="1">
      <alignment horizontal="center" vertical="center"/>
    </xf>
    <xf numFmtId="0" fontId="19" fillId="18" borderId="8" xfId="0" applyFont="1" applyFill="1" applyBorder="1"/>
    <xf numFmtId="0" fontId="19" fillId="18" borderId="28" xfId="0" applyFont="1" applyFill="1" applyBorder="1"/>
    <xf numFmtId="0" fontId="19" fillId="18" borderId="20" xfId="0" applyFont="1" applyFill="1" applyBorder="1"/>
    <xf numFmtId="0" fontId="9" fillId="16" borderId="12" xfId="0" applyFont="1" applyFill="1" applyBorder="1" applyAlignment="1">
      <alignment horizontal="center" vertical="center"/>
    </xf>
    <xf numFmtId="0" fontId="19" fillId="14" borderId="28" xfId="0" applyFont="1" applyFill="1" applyBorder="1"/>
    <xf numFmtId="0" fontId="0" fillId="14" borderId="20" xfId="0" applyFill="1" applyBorder="1"/>
    <xf numFmtId="0" fontId="0" fillId="14" borderId="30" xfId="0" applyFill="1" applyBorder="1"/>
    <xf numFmtId="0" fontId="9" fillId="14" borderId="20" xfId="0" applyFont="1" applyFill="1" applyBorder="1" applyAlignment="1">
      <alignment horizontal="center"/>
    </xf>
    <xf numFmtId="0" fontId="19" fillId="14" borderId="0" xfId="0" applyFont="1" applyFill="1" applyBorder="1" applyAlignment="1"/>
    <xf numFmtId="0" fontId="19" fillId="18" borderId="30" xfId="0" applyFont="1" applyFill="1" applyBorder="1"/>
    <xf numFmtId="0" fontId="24" fillId="18" borderId="20" xfId="0" applyFont="1" applyFill="1" applyBorder="1"/>
    <xf numFmtId="0" fontId="9" fillId="14" borderId="30" xfId="0" applyFont="1" applyFill="1" applyBorder="1"/>
    <xf numFmtId="0" fontId="20" fillId="14" borderId="21" xfId="0" applyFont="1" applyFill="1" applyBorder="1"/>
    <xf numFmtId="0" fontId="9" fillId="14" borderId="31" xfId="0" applyFont="1" applyFill="1" applyBorder="1"/>
    <xf numFmtId="0" fontId="23" fillId="14" borderId="0" xfId="0" applyFont="1" applyFill="1" applyBorder="1" applyAlignment="1"/>
    <xf numFmtId="0" fontId="0" fillId="17" borderId="9" xfId="0" applyFill="1" applyBorder="1"/>
    <xf numFmtId="0" fontId="9" fillId="17" borderId="10" xfId="0" applyFont="1" applyFill="1" applyBorder="1" applyAlignment="1">
      <alignment horizontal="center" vertical="center"/>
    </xf>
    <xf numFmtId="0" fontId="0" fillId="17" borderId="10" xfId="0" applyFill="1" applyBorder="1"/>
    <xf numFmtId="0" fontId="7" fillId="17" borderId="29" xfId="0" applyFont="1" applyFill="1" applyBorder="1" applyAlignment="1">
      <alignment horizontal="center" vertical="center"/>
    </xf>
    <xf numFmtId="0" fontId="19" fillId="17" borderId="5" xfId="0" applyFont="1" applyFill="1" applyBorder="1"/>
    <xf numFmtId="0" fontId="19" fillId="17" borderId="31" xfId="0" applyNumberFormat="1" applyFont="1" applyFill="1" applyBorder="1"/>
    <xf numFmtId="0" fontId="25" fillId="10" borderId="0" xfId="0" applyFont="1" applyFill="1" applyAlignment="1">
      <alignment horizontal="center"/>
    </xf>
    <xf numFmtId="0" fontId="0" fillId="0" borderId="1" xfId="0" applyFont="1" applyFill="1" applyBorder="1" applyAlignment="1">
      <alignment wrapText="1"/>
    </xf>
    <xf numFmtId="0" fontId="26" fillId="11" borderId="26" xfId="0" applyFont="1" applyFill="1" applyBorder="1"/>
    <xf numFmtId="0" fontId="0" fillId="8" borderId="10" xfId="0" applyFill="1" applyBorder="1"/>
    <xf numFmtId="0" fontId="9" fillId="8" borderId="10" xfId="0" applyFont="1" applyFill="1" applyBorder="1" applyAlignment="1">
      <alignment horizontal="center" vertical="center"/>
    </xf>
    <xf numFmtId="0" fontId="0" fillId="8" borderId="11" xfId="0" applyFill="1" applyBorder="1"/>
    <xf numFmtId="0" fontId="0" fillId="8" borderId="0" xfId="0" applyFill="1" applyBorder="1"/>
    <xf numFmtId="0" fontId="0" fillId="8" borderId="13" xfId="0" applyFill="1" applyBorder="1"/>
    <xf numFmtId="0" fontId="19" fillId="8" borderId="0" xfId="0" applyFont="1" applyFill="1" applyBorder="1"/>
    <xf numFmtId="0" fontId="9" fillId="8" borderId="0" xfId="0" applyFont="1" applyFill="1" applyBorder="1" applyAlignment="1">
      <alignment horizontal="center" vertical="center"/>
    </xf>
    <xf numFmtId="0" fontId="0" fillId="17" borderId="11" xfId="0" applyFill="1" applyBorder="1"/>
    <xf numFmtId="0" fontId="0" fillId="14" borderId="28" xfId="0" applyFill="1" applyBorder="1"/>
    <xf numFmtId="0" fontId="19" fillId="14" borderId="20" xfId="0" applyFont="1" applyFill="1" applyBorder="1" applyAlignment="1"/>
    <xf numFmtId="0" fontId="0" fillId="14" borderId="20" xfId="0" applyFill="1" applyBorder="1" applyAlignment="1"/>
    <xf numFmtId="0" fontId="0" fillId="14" borderId="21" xfId="0" applyFill="1" applyBorder="1"/>
    <xf numFmtId="0" fontId="0" fillId="14" borderId="2" xfId="0" applyFill="1" applyBorder="1"/>
    <xf numFmtId="0" fontId="7" fillId="14" borderId="2" xfId="0" applyFont="1" applyFill="1" applyBorder="1" applyAlignment="1">
      <alignment horizontal="center" vertical="center"/>
    </xf>
    <xf numFmtId="0" fontId="0" fillId="14" borderId="31" xfId="0" applyFill="1" applyBorder="1"/>
    <xf numFmtId="0" fontId="7" fillId="17" borderId="28" xfId="0" applyFont="1" applyFill="1" applyBorder="1" applyAlignment="1">
      <alignment horizontal="center" vertical="center"/>
    </xf>
    <xf numFmtId="0" fontId="19" fillId="17" borderId="20" xfId="0" applyFont="1" applyFill="1" applyBorder="1"/>
    <xf numFmtId="0" fontId="9" fillId="17" borderId="21" xfId="0" applyFont="1" applyFill="1" applyBorder="1" applyAlignment="1">
      <alignment horizontal="left" vertical="top"/>
    </xf>
    <xf numFmtId="0" fontId="0" fillId="17" borderId="31" xfId="0" applyFill="1" applyBorder="1"/>
    <xf numFmtId="0" fontId="11" fillId="17" borderId="2" xfId="0" applyFont="1" applyFill="1" applyBorder="1"/>
    <xf numFmtId="164" fontId="11" fillId="17" borderId="1" xfId="1" applyNumberFormat="1" applyFont="1" applyFill="1" applyBorder="1"/>
    <xf numFmtId="164" fontId="11" fillId="17" borderId="1" xfId="0" applyNumberFormat="1" applyFont="1" applyFill="1" applyBorder="1" applyAlignment="1"/>
    <xf numFmtId="164" fontId="11" fillId="17" borderId="1" xfId="0" applyNumberFormat="1" applyFont="1" applyFill="1" applyBorder="1"/>
    <xf numFmtId="164" fontId="10" fillId="17" borderId="1" xfId="1" applyNumberFormat="1" applyFont="1" applyFill="1" applyBorder="1" applyAlignment="1">
      <alignment horizontal="left"/>
    </xf>
    <xf numFmtId="164" fontId="10" fillId="17" borderId="1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19" borderId="0" xfId="1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9" fillId="17" borderId="12" xfId="0" applyFont="1" applyFill="1" applyBorder="1" applyAlignment="1">
      <alignment horizontal="center" vertical="center"/>
    </xf>
    <xf numFmtId="0" fontId="9" fillId="17" borderId="20" xfId="0" applyFont="1" applyFill="1" applyBorder="1"/>
    <xf numFmtId="0" fontId="9" fillId="17" borderId="5" xfId="0" applyFont="1" applyFill="1" applyBorder="1"/>
    <xf numFmtId="0" fontId="0" fillId="17" borderId="35" xfId="0" applyFill="1" applyBorder="1"/>
    <xf numFmtId="0" fontId="7" fillId="17" borderId="10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27" fillId="17" borderId="0" xfId="0" applyFont="1" applyFill="1" applyBorder="1"/>
    <xf numFmtId="0" fontId="0" fillId="7" borderId="31" xfId="0" applyFill="1" applyBorder="1"/>
    <xf numFmtId="0" fontId="23" fillId="8" borderId="0" xfId="0" applyFont="1" applyFill="1" applyBorder="1"/>
    <xf numFmtId="0" fontId="9" fillId="8" borderId="2" xfId="0" applyFont="1" applyFill="1" applyBorder="1"/>
    <xf numFmtId="0" fontId="18" fillId="17" borderId="0" xfId="0" applyFont="1" applyFill="1" applyBorder="1"/>
    <xf numFmtId="0" fontId="0" fillId="5" borderId="0" xfId="0" applyFill="1" applyBorder="1"/>
    <xf numFmtId="0" fontId="19" fillId="5" borderId="0" xfId="0" applyFont="1" applyFill="1" applyBorder="1" applyAlignment="1"/>
    <xf numFmtId="0" fontId="0" fillId="5" borderId="0" xfId="0" applyFill="1" applyBorder="1" applyAlignment="1"/>
    <xf numFmtId="0" fontId="7" fillId="5" borderId="0" xfId="0" applyFont="1" applyFill="1" applyBorder="1" applyAlignment="1">
      <alignment horizontal="center" vertical="center"/>
    </xf>
    <xf numFmtId="0" fontId="19" fillId="5" borderId="0" xfId="0" applyFont="1" applyFill="1" applyBorder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0" fillId="17" borderId="38" xfId="0" applyFill="1" applyBorder="1"/>
    <xf numFmtId="0" fontId="9" fillId="17" borderId="36" xfId="0" applyFont="1" applyFill="1" applyBorder="1" applyAlignment="1">
      <alignment horizontal="center" vertical="center"/>
    </xf>
    <xf numFmtId="0" fontId="23" fillId="17" borderId="12" xfId="0" applyFont="1" applyFill="1" applyBorder="1"/>
    <xf numFmtId="0" fontId="0" fillId="5" borderId="13" xfId="0" applyFill="1" applyBorder="1"/>
    <xf numFmtId="0" fontId="0" fillId="17" borderId="36" xfId="0" applyFill="1" applyBorder="1"/>
    <xf numFmtId="0" fontId="0" fillId="17" borderId="37" xfId="0" applyFill="1" applyBorder="1"/>
    <xf numFmtId="0" fontId="9" fillId="5" borderId="13" xfId="0" applyFont="1" applyFill="1" applyBorder="1" applyAlignment="1">
      <alignment horizontal="left" vertical="center"/>
    </xf>
    <xf numFmtId="0" fontId="17" fillId="5" borderId="0" xfId="0" applyFont="1" applyFill="1" applyBorder="1"/>
    <xf numFmtId="0" fontId="28" fillId="5" borderId="0" xfId="0" applyFont="1" applyFill="1" applyBorder="1"/>
    <xf numFmtId="0" fontId="9" fillId="17" borderId="13" xfId="0" applyFont="1" applyFill="1" applyBorder="1" applyAlignment="1">
      <alignment horizontal="center"/>
    </xf>
    <xf numFmtId="0" fontId="0" fillId="8" borderId="9" xfId="0" applyFill="1" applyBorder="1"/>
    <xf numFmtId="0" fontId="7" fillId="8" borderId="10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0" fillId="8" borderId="5" xfId="0" applyFill="1" applyBorder="1"/>
    <xf numFmtId="0" fontId="19" fillId="8" borderId="5" xfId="0" applyFont="1" applyFill="1" applyBorder="1"/>
    <xf numFmtId="0" fontId="7" fillId="8" borderId="12" xfId="0" applyFont="1" applyFill="1" applyBorder="1" applyAlignment="1">
      <alignment horizontal="center" vertical="center"/>
    </xf>
    <xf numFmtId="0" fontId="9" fillId="8" borderId="23" xfId="0" applyFont="1" applyFill="1" applyBorder="1"/>
    <xf numFmtId="0" fontId="19" fillId="8" borderId="2" xfId="0" applyFont="1" applyFill="1" applyBorder="1"/>
    <xf numFmtId="0" fontId="0" fillId="8" borderId="38" xfId="0" applyFill="1" applyBorder="1"/>
    <xf numFmtId="0" fontId="0" fillId="8" borderId="8" xfId="0" applyFill="1" applyBorder="1"/>
    <xf numFmtId="0" fontId="9" fillId="8" borderId="13" xfId="0" applyFont="1" applyFill="1" applyBorder="1" applyAlignment="1">
      <alignment horizontal="center" vertical="center"/>
    </xf>
    <xf numFmtId="0" fontId="19" fillId="8" borderId="8" xfId="0" applyFont="1" applyFill="1" applyBorder="1"/>
    <xf numFmtId="164" fontId="2" fillId="8" borderId="0" xfId="1" applyNumberFormat="1" applyFont="1" applyFill="1" applyBorder="1"/>
    <xf numFmtId="0" fontId="24" fillId="0" borderId="1" xfId="0" applyFont="1" applyBorder="1"/>
    <xf numFmtId="0" fontId="0" fillId="19" borderId="0" xfId="0" applyFill="1"/>
    <xf numFmtId="164" fontId="11" fillId="17" borderId="1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9" fillId="8" borderId="21" xfId="0" applyFont="1" applyFill="1" applyBorder="1"/>
    <xf numFmtId="0" fontId="0" fillId="8" borderId="2" xfId="0" applyFill="1" applyBorder="1"/>
    <xf numFmtId="0" fontId="9" fillId="8" borderId="2" xfId="0" applyFont="1" applyFill="1" applyBorder="1" applyAlignment="1">
      <alignment horizontal="center" vertical="center"/>
    </xf>
    <xf numFmtId="0" fontId="0" fillId="8" borderId="35" xfId="0" applyFill="1" applyBorder="1"/>
    <xf numFmtId="0" fontId="19" fillId="8" borderId="31" xfId="0" applyFont="1" applyFill="1" applyBorder="1"/>
    <xf numFmtId="0" fontId="9" fillId="7" borderId="0" xfId="0" applyFont="1" applyFill="1" applyBorder="1"/>
    <xf numFmtId="0" fontId="9" fillId="7" borderId="13" xfId="0" applyFont="1" applyFill="1" applyBorder="1"/>
    <xf numFmtId="0" fontId="19" fillId="7" borderId="30" xfId="0" applyFont="1" applyFill="1" applyBorder="1"/>
    <xf numFmtId="0" fontId="19" fillId="7" borderId="0" xfId="0" applyFont="1" applyFill="1" applyBorder="1"/>
    <xf numFmtId="0" fontId="9" fillId="17" borderId="0" xfId="0" applyFont="1" applyFill="1" applyBorder="1" applyAlignment="1">
      <alignment horizontal="center"/>
    </xf>
    <xf numFmtId="0" fontId="9" fillId="7" borderId="15" xfId="0" applyFont="1" applyFill="1" applyBorder="1"/>
    <xf numFmtId="0" fontId="20" fillId="7" borderId="15" xfId="0" applyFont="1" applyFill="1" applyBorder="1"/>
    <xf numFmtId="0" fontId="23" fillId="7" borderId="15" xfId="0" applyFont="1" applyFill="1" applyBorder="1" applyAlignment="1"/>
    <xf numFmtId="0" fontId="0" fillId="7" borderId="2" xfId="0" applyFill="1" applyBorder="1"/>
    <xf numFmtId="0" fontId="0" fillId="17" borderId="21" xfId="0" applyFill="1" applyBorder="1"/>
    <xf numFmtId="0" fontId="9" fillId="17" borderId="2" xfId="0" applyFont="1" applyFill="1" applyBorder="1" applyAlignment="1">
      <alignment vertical="center"/>
    </xf>
    <xf numFmtId="0" fontId="7" fillId="17" borderId="5" xfId="0" applyFont="1" applyFill="1" applyBorder="1" applyAlignment="1">
      <alignment horizontal="center" vertical="center"/>
    </xf>
    <xf numFmtId="0" fontId="0" fillId="11" borderId="13" xfId="0" applyFill="1" applyBorder="1"/>
    <xf numFmtId="0" fontId="11" fillId="10" borderId="1" xfId="0" applyFont="1" applyFill="1" applyBorder="1" applyAlignment="1">
      <alignment horizontal="center"/>
    </xf>
    <xf numFmtId="0" fontId="19" fillId="17" borderId="10" xfId="0" applyFont="1" applyFill="1" applyBorder="1"/>
    <xf numFmtId="0" fontId="9" fillId="17" borderId="0" xfId="0" applyFont="1" applyFill="1" applyBorder="1" applyAlignment="1">
      <alignment horizontal="left" vertical="top"/>
    </xf>
    <xf numFmtId="0" fontId="11" fillId="17" borderId="0" xfId="0" applyFont="1" applyFill="1" applyBorder="1"/>
    <xf numFmtId="0" fontId="7" fillId="11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0" borderId="1" xfId="0" applyFont="1" applyFill="1" applyBorder="1"/>
    <xf numFmtId="0" fontId="11" fillId="20" borderId="1" xfId="0" applyFont="1" applyFill="1" applyBorder="1" applyAlignment="1">
      <alignment horizontal="center"/>
    </xf>
    <xf numFmtId="0" fontId="0" fillId="11" borderId="15" xfId="0" applyFill="1" applyBorder="1"/>
    <xf numFmtId="0" fontId="0" fillId="11" borderId="16" xfId="0" applyFill="1" applyBorder="1"/>
    <xf numFmtId="0" fontId="9" fillId="17" borderId="12" xfId="0" applyFont="1" applyFill="1" applyBorder="1" applyAlignment="1"/>
    <xf numFmtId="44" fontId="0" fillId="0" borderId="0" xfId="1" applyFont="1"/>
    <xf numFmtId="1" fontId="0" fillId="19" borderId="0" xfId="1" applyNumberFormat="1" applyFont="1" applyFill="1" applyAlignment="1">
      <alignment horizontal="center"/>
    </xf>
    <xf numFmtId="1" fontId="0" fillId="0" borderId="1" xfId="0" applyNumberFormat="1" applyBorder="1"/>
    <xf numFmtId="164" fontId="7" fillId="0" borderId="1" xfId="1" applyNumberFormat="1" applyFont="1" applyFill="1" applyBorder="1"/>
    <xf numFmtId="164" fontId="0" fillId="0" borderId="0" xfId="0" applyNumberFormat="1"/>
    <xf numFmtId="164" fontId="0" fillId="8" borderId="1" xfId="1" applyNumberFormat="1" applyFont="1" applyFill="1" applyBorder="1"/>
    <xf numFmtId="9" fontId="0" fillId="0" borderId="0" xfId="0" applyNumberFormat="1"/>
    <xf numFmtId="0" fontId="0" fillId="8" borderId="0" xfId="0" applyFill="1"/>
    <xf numFmtId="164" fontId="0" fillId="6" borderId="1" xfId="1" applyNumberFormat="1" applyFont="1" applyFill="1" applyBorder="1"/>
    <xf numFmtId="44" fontId="0" fillId="6" borderId="0" xfId="1" applyFont="1" applyFill="1"/>
    <xf numFmtId="164" fontId="0" fillId="2" borderId="1" xfId="1" applyNumberFormat="1" applyFont="1" applyFill="1" applyBorder="1"/>
    <xf numFmtId="0" fontId="0" fillId="0" borderId="1" xfId="0" applyBorder="1" applyAlignment="1">
      <alignment horizontal="right"/>
    </xf>
    <xf numFmtId="0" fontId="0" fillId="14" borderId="1" xfId="0" applyFill="1" applyBorder="1"/>
    <xf numFmtId="164" fontId="0" fillId="0" borderId="1" xfId="0" applyNumberFormat="1" applyBorder="1"/>
    <xf numFmtId="0" fontId="11" fillId="10" borderId="5" xfId="0" applyFont="1" applyFill="1" applyBorder="1" applyAlignment="1">
      <alignment horizontal="center" vertical="center" textRotation="90"/>
    </xf>
    <xf numFmtId="0" fontId="28" fillId="7" borderId="20" xfId="0" applyFont="1" applyFill="1" applyBorder="1" applyAlignment="1">
      <alignment horizontal="center" textRotation="90"/>
    </xf>
    <xf numFmtId="0" fontId="28" fillId="7" borderId="0" xfId="0" applyFont="1" applyFill="1" applyBorder="1" applyAlignment="1">
      <alignment horizontal="center" textRotation="90"/>
    </xf>
    <xf numFmtId="0" fontId="28" fillId="7" borderId="5" xfId="0" applyFont="1" applyFill="1" applyBorder="1" applyAlignment="1">
      <alignment horizontal="center" textRotation="90"/>
    </xf>
    <xf numFmtId="0" fontId="11" fillId="2" borderId="5" xfId="0" applyFont="1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164" fontId="0" fillId="0" borderId="0" xfId="1" applyNumberFormat="1" applyFont="1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19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12">
    <cellStyle name="Euro" xfId="3"/>
    <cellStyle name="Euro 2" xfId="7"/>
    <cellStyle name="Milliers 2" xfId="6"/>
    <cellStyle name="Milliers 2 2" xfId="8"/>
    <cellStyle name="Milliers 2 2 2" xfId="10"/>
    <cellStyle name="Milliers 3" xfId="9"/>
    <cellStyle name="Monétaire" xfId="1" builtinId="4"/>
    <cellStyle name="Monétaire 2" xfId="4"/>
    <cellStyle name="Monétaire 3" xfId="2"/>
    <cellStyle name="Monétaire 4" xfId="11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FFCBCB"/>
      <color rgb="FFE7FDF3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381000</xdr:colOff>
      <xdr:row>23</xdr:row>
      <xdr:rowOff>222250</xdr:rowOff>
    </xdr:from>
    <xdr:to>
      <xdr:col>19</xdr:col>
      <xdr:colOff>190500</xdr:colOff>
      <xdr:row>24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05850" y="8921750"/>
          <a:ext cx="196850" cy="18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381000</xdr:colOff>
      <xdr:row>23</xdr:row>
      <xdr:rowOff>222250</xdr:rowOff>
    </xdr:from>
    <xdr:to>
      <xdr:col>19</xdr:col>
      <xdr:colOff>190500</xdr:colOff>
      <xdr:row>24</xdr:row>
      <xdr:rowOff>47625</xdr:rowOff>
    </xdr:to>
    <xdr:sp macro="" textlink="">
      <xdr:nvSpPr>
        <xdr:cNvPr id="2" name="Rectangle 1"/>
        <xdr:cNvSpPr/>
      </xdr:nvSpPr>
      <xdr:spPr>
        <a:xfrm>
          <a:off x="8842375" y="8985250"/>
          <a:ext cx="206375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2" workbookViewId="0">
      <selection activeCell="J17" sqref="J17"/>
    </sheetView>
  </sheetViews>
  <sheetFormatPr baseColWidth="10" defaultRowHeight="14.5" x14ac:dyDescent="0.35"/>
  <cols>
    <col min="1" max="1" width="26.1796875" customWidth="1"/>
    <col min="2" max="2" width="13.1796875" customWidth="1"/>
    <col min="3" max="4" width="10.90625" style="28"/>
    <col min="5" max="5" width="14.90625" customWidth="1"/>
    <col min="6" max="6" width="16.453125" customWidth="1"/>
    <col min="9" max="9" width="14.1796875" customWidth="1"/>
  </cols>
  <sheetData>
    <row r="1" spans="1:11" x14ac:dyDescent="0.35">
      <c r="I1" s="4"/>
      <c r="J1" s="187" t="s">
        <v>133</v>
      </c>
      <c r="K1" s="187" t="s">
        <v>335</v>
      </c>
    </row>
    <row r="2" spans="1:11" x14ac:dyDescent="0.35">
      <c r="A2" s="9" t="s">
        <v>359</v>
      </c>
      <c r="B2" s="9" t="s">
        <v>133</v>
      </c>
      <c r="C2" s="9" t="s">
        <v>340</v>
      </c>
      <c r="D2" s="9" t="s">
        <v>346</v>
      </c>
      <c r="E2" s="9" t="s">
        <v>352</v>
      </c>
      <c r="F2" s="9" t="s">
        <v>312</v>
      </c>
      <c r="G2" s="9" t="s">
        <v>313</v>
      </c>
      <c r="I2" s="4" t="s">
        <v>239</v>
      </c>
      <c r="J2" s="4">
        <f>SUM(B3:B12)</f>
        <v>96</v>
      </c>
      <c r="K2" s="4">
        <v>8</v>
      </c>
    </row>
    <row r="3" spans="1:11" x14ac:dyDescent="0.35">
      <c r="A3" s="4" t="s">
        <v>309</v>
      </c>
      <c r="B3" s="4">
        <v>8</v>
      </c>
      <c r="C3" s="4" t="s">
        <v>341</v>
      </c>
      <c r="D3" s="187">
        <v>1</v>
      </c>
      <c r="E3" s="349">
        <v>6920</v>
      </c>
      <c r="F3" s="346">
        <f>E3</f>
        <v>6920</v>
      </c>
      <c r="G3" s="351"/>
      <c r="I3" s="4" t="s">
        <v>240</v>
      </c>
      <c r="J3" s="4">
        <f>SUM(B13:B15)</f>
        <v>20</v>
      </c>
      <c r="K3" s="4">
        <v>2</v>
      </c>
    </row>
    <row r="4" spans="1:11" x14ac:dyDescent="0.35">
      <c r="A4" s="4" t="s">
        <v>104</v>
      </c>
      <c r="B4" s="4">
        <v>22</v>
      </c>
      <c r="C4" s="4" t="s">
        <v>342</v>
      </c>
      <c r="D4" s="187">
        <v>1</v>
      </c>
      <c r="E4" s="349">
        <v>19850</v>
      </c>
      <c r="F4" s="346">
        <f>E4</f>
        <v>19850</v>
      </c>
      <c r="G4" s="351"/>
      <c r="I4" s="4"/>
      <c r="J4" s="4">
        <f>SUM(J2:J3)</f>
        <v>116</v>
      </c>
      <c r="K4" s="4">
        <f>SUM(K2:K3)</f>
        <v>10</v>
      </c>
    </row>
    <row r="5" spans="1:11" x14ac:dyDescent="0.35">
      <c r="A5" s="4" t="s">
        <v>99</v>
      </c>
      <c r="B5" s="4">
        <v>2</v>
      </c>
      <c r="C5" s="4" t="s">
        <v>341</v>
      </c>
      <c r="D5" s="187"/>
      <c r="E5" s="349">
        <v>2150</v>
      </c>
      <c r="F5" s="346">
        <f>E5</f>
        <v>2150</v>
      </c>
      <c r="G5" s="351"/>
    </row>
    <row r="6" spans="1:11" x14ac:dyDescent="0.35">
      <c r="A6" s="353" t="s">
        <v>310</v>
      </c>
      <c r="B6" s="4">
        <v>6</v>
      </c>
      <c r="C6" s="4" t="s">
        <v>341</v>
      </c>
      <c r="D6" s="187"/>
      <c r="E6" s="349">
        <v>5080</v>
      </c>
      <c r="F6" s="346" t="s">
        <v>351</v>
      </c>
      <c r="G6" s="351">
        <f>E6</f>
        <v>5080</v>
      </c>
      <c r="I6" s="4" t="s">
        <v>344</v>
      </c>
      <c r="J6" s="4">
        <v>8</v>
      </c>
    </row>
    <row r="7" spans="1:11" x14ac:dyDescent="0.35">
      <c r="A7" s="353" t="s">
        <v>311</v>
      </c>
      <c r="B7" s="4">
        <v>15</v>
      </c>
      <c r="C7" s="4" t="s">
        <v>342</v>
      </c>
      <c r="D7" s="187">
        <v>1</v>
      </c>
      <c r="E7" s="349">
        <v>12500</v>
      </c>
      <c r="F7" s="346">
        <v>2000</v>
      </c>
      <c r="G7" s="351">
        <f>E7-F7</f>
        <v>10500</v>
      </c>
      <c r="I7" s="4" t="s">
        <v>345</v>
      </c>
      <c r="J7" s="4">
        <v>5</v>
      </c>
    </row>
    <row r="8" spans="1:11" x14ac:dyDescent="0.35">
      <c r="A8" s="4" t="s">
        <v>307</v>
      </c>
      <c r="B8" s="4">
        <v>6</v>
      </c>
      <c r="C8" s="4" t="s">
        <v>341</v>
      </c>
      <c r="D8" s="187"/>
      <c r="E8" s="349">
        <v>5080</v>
      </c>
      <c r="F8" s="346">
        <f>E8</f>
        <v>5080</v>
      </c>
      <c r="G8" s="351"/>
    </row>
    <row r="9" spans="1:11" x14ac:dyDescent="0.35">
      <c r="A9" s="4" t="s">
        <v>231</v>
      </c>
      <c r="B9" s="4">
        <v>9</v>
      </c>
      <c r="C9" s="4" t="s">
        <v>342</v>
      </c>
      <c r="D9" s="187">
        <v>1</v>
      </c>
      <c r="E9" s="349">
        <v>8100</v>
      </c>
      <c r="F9" s="346">
        <f>E9</f>
        <v>8100</v>
      </c>
      <c r="G9" s="351"/>
      <c r="I9" s="4" t="s">
        <v>346</v>
      </c>
      <c r="J9" s="343">
        <f>D16</f>
        <v>7</v>
      </c>
    </row>
    <row r="10" spans="1:11" s="28" customFormat="1" x14ac:dyDescent="0.35">
      <c r="A10" s="353" t="s">
        <v>330</v>
      </c>
      <c r="B10" s="4">
        <v>18</v>
      </c>
      <c r="C10" s="4" t="s">
        <v>342</v>
      </c>
      <c r="D10" s="187">
        <v>1</v>
      </c>
      <c r="E10" s="349">
        <v>14650</v>
      </c>
      <c r="F10" s="346" t="s">
        <v>351</v>
      </c>
      <c r="G10" s="351">
        <f>E10</f>
        <v>14650</v>
      </c>
    </row>
    <row r="11" spans="1:11" x14ac:dyDescent="0.35">
      <c r="A11" s="4"/>
      <c r="B11" s="4">
        <v>5</v>
      </c>
      <c r="C11" s="4" t="s">
        <v>341</v>
      </c>
      <c r="D11" s="187"/>
      <c r="E11" s="349">
        <v>0</v>
      </c>
      <c r="F11" s="346"/>
      <c r="G11" s="351"/>
    </row>
    <row r="12" spans="1:11" s="28" customFormat="1" x14ac:dyDescent="0.35">
      <c r="A12" s="4" t="s">
        <v>333</v>
      </c>
      <c r="B12" s="4">
        <v>5</v>
      </c>
      <c r="C12" s="4" t="s">
        <v>341</v>
      </c>
      <c r="D12" s="187"/>
      <c r="E12" s="349">
        <v>0</v>
      </c>
      <c r="F12" s="346">
        <v>0</v>
      </c>
      <c r="G12" s="351">
        <v>0</v>
      </c>
      <c r="I12" s="347"/>
    </row>
    <row r="13" spans="1:11" x14ac:dyDescent="0.35">
      <c r="A13" s="353" t="s">
        <v>334</v>
      </c>
      <c r="B13" s="4">
        <v>5</v>
      </c>
      <c r="C13" s="4" t="s">
        <v>341</v>
      </c>
      <c r="D13" s="187"/>
      <c r="E13" s="349">
        <v>11282</v>
      </c>
      <c r="F13" s="346" t="s">
        <v>353</v>
      </c>
      <c r="G13" s="351"/>
    </row>
    <row r="14" spans="1:11" s="28" customFormat="1" x14ac:dyDescent="0.35">
      <c r="A14" s="6" t="s">
        <v>266</v>
      </c>
      <c r="B14" s="6">
        <v>6.25</v>
      </c>
      <c r="C14" s="6" t="s">
        <v>341</v>
      </c>
      <c r="D14" s="8">
        <v>1</v>
      </c>
      <c r="E14" s="349">
        <v>0</v>
      </c>
      <c r="F14" s="346">
        <v>0</v>
      </c>
      <c r="G14" s="351">
        <v>0</v>
      </c>
    </row>
    <row r="15" spans="1:11" s="28" customFormat="1" x14ac:dyDescent="0.35">
      <c r="A15" s="6" t="s">
        <v>343</v>
      </c>
      <c r="B15" s="6">
        <v>8.75</v>
      </c>
      <c r="C15" s="6" t="s">
        <v>342</v>
      </c>
      <c r="D15" s="8">
        <v>1</v>
      </c>
      <c r="E15" s="349">
        <v>0</v>
      </c>
      <c r="F15" s="346">
        <v>0</v>
      </c>
      <c r="G15" s="351">
        <v>0</v>
      </c>
    </row>
    <row r="16" spans="1:11" x14ac:dyDescent="0.35">
      <c r="B16" s="302">
        <f>SUM(B3:B15)</f>
        <v>116</v>
      </c>
      <c r="D16" s="342">
        <f>SUM(D3:D15)</f>
        <v>7</v>
      </c>
      <c r="E16" s="350">
        <f t="shared" ref="E16:G16" si="0">SUM(E3:E13)</f>
        <v>85612</v>
      </c>
      <c r="F16" s="348">
        <f t="shared" si="0"/>
        <v>44100</v>
      </c>
      <c r="G16" s="1">
        <f t="shared" si="0"/>
        <v>30230</v>
      </c>
    </row>
    <row r="18" spans="1:5" x14ac:dyDescent="0.35">
      <c r="A18" s="9" t="s">
        <v>360</v>
      </c>
      <c r="B18" s="9" t="s">
        <v>356</v>
      </c>
      <c r="C18" s="9" t="s">
        <v>357</v>
      </c>
      <c r="D18" s="9" t="s">
        <v>358</v>
      </c>
      <c r="E18" s="9" t="s">
        <v>361</v>
      </c>
    </row>
    <row r="19" spans="1:5" x14ac:dyDescent="0.35">
      <c r="A19" s="352" t="s">
        <v>354</v>
      </c>
      <c r="B19" s="250">
        <v>88861</v>
      </c>
      <c r="C19" s="4" t="s">
        <v>355</v>
      </c>
      <c r="D19" s="354">
        <f>B19</f>
        <v>88861</v>
      </c>
      <c r="E19" s="4" t="s">
        <v>362</v>
      </c>
    </row>
    <row r="20" spans="1:5" x14ac:dyDescent="0.35">
      <c r="A20" s="4" t="s">
        <v>363</v>
      </c>
      <c r="B20" s="4"/>
      <c r="C20" s="4"/>
      <c r="D20" s="4"/>
      <c r="E20" s="4"/>
    </row>
    <row r="21" spans="1:5" x14ac:dyDescent="0.35">
      <c r="A21" s="4" t="s">
        <v>364</v>
      </c>
      <c r="B21" s="4"/>
      <c r="C21" s="4"/>
      <c r="D21" s="4"/>
      <c r="E21" s="4"/>
    </row>
    <row r="22" spans="1:5" x14ac:dyDescent="0.35">
      <c r="A22" s="4" t="s">
        <v>365</v>
      </c>
      <c r="B22" s="4"/>
      <c r="C22" s="4"/>
      <c r="D22" s="4"/>
      <c r="E22" s="4"/>
    </row>
    <row r="23" spans="1:5" x14ac:dyDescent="0.35">
      <c r="A23" s="4" t="s">
        <v>366</v>
      </c>
      <c r="B23" s="4"/>
      <c r="C23" s="4"/>
      <c r="D23" s="4"/>
      <c r="E23" s="4"/>
    </row>
    <row r="24" spans="1:5" x14ac:dyDescent="0.35">
      <c r="A24" s="4" t="s">
        <v>367</v>
      </c>
      <c r="B24" s="4"/>
      <c r="C24" s="4"/>
      <c r="D24" s="4"/>
      <c r="E24" s="4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"/>
  <sheetViews>
    <sheetView topLeftCell="A16" zoomScale="76" zoomScaleNormal="76" workbookViewId="0">
      <selection activeCell="D5" sqref="D5"/>
    </sheetView>
  </sheetViews>
  <sheetFormatPr baseColWidth="10" defaultColWidth="10.90625" defaultRowHeight="15.5" x14ac:dyDescent="0.35"/>
  <cols>
    <col min="1" max="1" width="10.90625" style="5"/>
    <col min="2" max="2" width="34.54296875" style="28" customWidth="1"/>
    <col min="3" max="3" width="10.90625" style="46"/>
    <col min="4" max="4" width="33.1796875" style="28" customWidth="1"/>
    <col min="5" max="5" width="26.54296875" style="28" customWidth="1"/>
    <col min="6" max="6" width="10.453125" style="46" customWidth="1"/>
    <col min="7" max="7" width="28.1796875" style="28" customWidth="1"/>
    <col min="8" max="9" width="3.1796875" style="5" customWidth="1"/>
    <col min="10" max="10" width="20" style="5" customWidth="1"/>
    <col min="11" max="11" width="13.453125" style="5" customWidth="1"/>
    <col min="12" max="12" width="13.54296875" style="5" customWidth="1"/>
    <col min="13" max="13" width="17.1796875" style="5" customWidth="1"/>
    <col min="14" max="14" width="6.1796875" style="5" customWidth="1"/>
    <col min="15" max="15" width="2.54296875" style="5" customWidth="1"/>
    <col min="16" max="16" width="12.08984375" style="5" customWidth="1"/>
    <col min="17" max="47" width="10.90625" style="5"/>
    <col min="48" max="16384" width="10.90625" style="28"/>
  </cols>
  <sheetData>
    <row r="1" spans="1:47" ht="24" customHeight="1" x14ac:dyDescent="0.35">
      <c r="B1" s="6"/>
      <c r="C1" s="360" t="s">
        <v>0</v>
      </c>
      <c r="D1" s="360"/>
      <c r="E1" s="8"/>
      <c r="F1" s="361" t="s">
        <v>1</v>
      </c>
      <c r="G1" s="361"/>
      <c r="K1" s="363" t="s">
        <v>56</v>
      </c>
      <c r="L1" s="363"/>
      <c r="N1" s="364" t="s">
        <v>130</v>
      </c>
      <c r="O1" s="364"/>
      <c r="P1" s="42">
        <f>499+236</f>
        <v>735</v>
      </c>
    </row>
    <row r="2" spans="1:47" ht="16.5" customHeight="1" x14ac:dyDescent="0.35">
      <c r="B2" s="6"/>
      <c r="C2" s="42" t="s">
        <v>6</v>
      </c>
      <c r="D2" s="6"/>
      <c r="E2" s="6"/>
      <c r="F2" s="42" t="s">
        <v>6</v>
      </c>
      <c r="G2" s="6"/>
      <c r="K2" s="33">
        <v>66</v>
      </c>
      <c r="L2" s="34">
        <f>C27-17157</f>
        <v>37736</v>
      </c>
    </row>
    <row r="3" spans="1:47" ht="16.5" customHeight="1" x14ac:dyDescent="0.35">
      <c r="B3" s="9" t="s">
        <v>11</v>
      </c>
      <c r="C3" s="42"/>
      <c r="D3" s="6"/>
      <c r="E3" s="9" t="s">
        <v>11</v>
      </c>
      <c r="F3" s="42"/>
      <c r="G3" s="6"/>
      <c r="P3" s="53"/>
      <c r="Q3" s="54"/>
      <c r="R3" s="55"/>
    </row>
    <row r="4" spans="1:47" s="1" customFormat="1" ht="28" customHeight="1" x14ac:dyDescent="0.35">
      <c r="A4" s="5"/>
      <c r="B4" s="6" t="s">
        <v>144</v>
      </c>
      <c r="C4" s="42">
        <f>66*350</f>
        <v>23100</v>
      </c>
      <c r="D4" s="6" t="s">
        <v>337</v>
      </c>
      <c r="E4" s="12" t="s">
        <v>153</v>
      </c>
      <c r="F4" s="58">
        <f>M7+M8</f>
        <v>13840</v>
      </c>
      <c r="G4" s="50" t="s">
        <v>158</v>
      </c>
      <c r="H4" s="5"/>
      <c r="I4" s="5"/>
      <c r="J4" s="5"/>
      <c r="K4" s="5"/>
      <c r="L4" s="5"/>
      <c r="M4" s="5"/>
      <c r="N4" s="5"/>
      <c r="O4" s="5"/>
      <c r="P4" s="53"/>
      <c r="Q4" s="54"/>
      <c r="R4" s="5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" customFormat="1" ht="28" customHeight="1" x14ac:dyDescent="0.35">
      <c r="A5" s="5"/>
      <c r="B5" s="6" t="s">
        <v>145</v>
      </c>
      <c r="C5" s="42">
        <f>236*66</f>
        <v>15576</v>
      </c>
      <c r="D5" s="6" t="s">
        <v>34</v>
      </c>
      <c r="E5" s="12" t="s">
        <v>157</v>
      </c>
      <c r="F5" s="59">
        <f>M9+M10</f>
        <v>10900</v>
      </c>
      <c r="G5" s="12" t="s">
        <v>155</v>
      </c>
      <c r="H5" s="5"/>
      <c r="I5" s="5"/>
      <c r="J5" s="5"/>
      <c r="K5" s="5"/>
      <c r="L5" s="5"/>
      <c r="M5" s="5"/>
      <c r="N5" s="5"/>
      <c r="O5" s="5"/>
      <c r="P5" s="56"/>
      <c r="Q5" s="57"/>
      <c r="R5" s="5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8" customHeight="1" x14ac:dyDescent="0.35">
      <c r="A6" s="5"/>
      <c r="B6" s="6" t="s">
        <v>141</v>
      </c>
      <c r="C6" s="42"/>
      <c r="D6" s="50"/>
      <c r="E6" s="6" t="s">
        <v>161</v>
      </c>
      <c r="F6" s="42">
        <f>M11</f>
        <v>5080</v>
      </c>
      <c r="G6" s="6" t="s">
        <v>165</v>
      </c>
      <c r="H6" s="5"/>
      <c r="I6" s="5"/>
      <c r="J6" s="5"/>
      <c r="K6" s="30" t="s">
        <v>133</v>
      </c>
      <c r="L6" s="30" t="s">
        <v>131</v>
      </c>
      <c r="M6" s="30" t="s">
        <v>132</v>
      </c>
      <c r="N6" s="30">
        <v>2016</v>
      </c>
      <c r="O6" s="41"/>
      <c r="P6" s="52" t="s">
        <v>152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" customFormat="1" ht="29.15" customHeight="1" x14ac:dyDescent="0.35">
      <c r="A7" s="5"/>
      <c r="B7" s="6" t="s">
        <v>142</v>
      </c>
      <c r="C7" s="42">
        <f>8*518</f>
        <v>4144</v>
      </c>
      <c r="D7" s="6" t="s">
        <v>168</v>
      </c>
      <c r="E7" s="6" t="s">
        <v>160</v>
      </c>
      <c r="F7" s="42">
        <f>M14+M15</f>
        <v>5980</v>
      </c>
      <c r="G7" s="12" t="s">
        <v>163</v>
      </c>
      <c r="H7" s="5"/>
      <c r="I7" s="365" t="s">
        <v>140</v>
      </c>
      <c r="J7" s="37" t="s">
        <v>151</v>
      </c>
      <c r="K7" s="38">
        <v>8</v>
      </c>
      <c r="L7" s="39">
        <f>K7*P$1+370+518</f>
        <v>6768</v>
      </c>
      <c r="M7" s="43">
        <v>6920</v>
      </c>
      <c r="N7" s="5"/>
      <c r="O7" s="40"/>
      <c r="P7" s="51">
        <f>M7-L7</f>
        <v>152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" customFormat="1" ht="16.5" customHeight="1" x14ac:dyDescent="0.35">
      <c r="A8" s="5"/>
      <c r="B8" s="6" t="s">
        <v>32</v>
      </c>
      <c r="C8" s="42">
        <f>3*875</f>
        <v>2625</v>
      </c>
      <c r="D8" s="6" t="s">
        <v>169</v>
      </c>
      <c r="E8" s="6" t="s">
        <v>162</v>
      </c>
      <c r="F8" s="42">
        <f>M17+M18+M19</f>
        <v>6450</v>
      </c>
      <c r="G8" s="6" t="s">
        <v>166</v>
      </c>
      <c r="H8" s="5"/>
      <c r="I8" s="365"/>
      <c r="J8" s="37" t="s">
        <v>154</v>
      </c>
      <c r="K8" s="38">
        <v>8</v>
      </c>
      <c r="L8" s="39">
        <f>K8*P$1+370+518</f>
        <v>6768</v>
      </c>
      <c r="M8" s="43">
        <v>6920</v>
      </c>
      <c r="N8" s="40"/>
      <c r="O8" s="40"/>
      <c r="P8" s="51">
        <f t="shared" ref="P8:P13" si="0">M8-L8</f>
        <v>152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" customFormat="1" ht="16.5" customHeight="1" x14ac:dyDescent="0.35">
      <c r="A9" s="5"/>
      <c r="B9" s="6" t="s">
        <v>33</v>
      </c>
      <c r="C9" s="42">
        <f>367*4</f>
        <v>1468</v>
      </c>
      <c r="D9" s="6" t="s">
        <v>134</v>
      </c>
      <c r="E9" s="6"/>
      <c r="F9" s="6"/>
      <c r="G9" s="6"/>
      <c r="H9" s="5"/>
      <c r="I9" s="365"/>
      <c r="J9" s="37" t="s">
        <v>137</v>
      </c>
      <c r="K9" s="38">
        <v>6</v>
      </c>
      <c r="L9" s="39">
        <f>K9*P$1+370+518</f>
        <v>5298</v>
      </c>
      <c r="M9" s="43">
        <v>5450</v>
      </c>
      <c r="N9" s="40"/>
      <c r="O9" s="40"/>
      <c r="P9" s="51">
        <f t="shared" si="0"/>
        <v>152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1" customFormat="1" ht="16.5" customHeight="1" x14ac:dyDescent="0.35">
      <c r="A10" s="5"/>
      <c r="B10" s="9" t="s">
        <v>8</v>
      </c>
      <c r="C10" s="42"/>
      <c r="D10" s="6"/>
      <c r="E10" s="6"/>
      <c r="F10" s="42"/>
      <c r="G10" s="6"/>
      <c r="H10" s="5"/>
      <c r="I10" s="365"/>
      <c r="J10" s="37" t="s">
        <v>138</v>
      </c>
      <c r="K10" s="38">
        <v>6</v>
      </c>
      <c r="L10" s="39">
        <f t="shared" ref="L10" si="1">K10*P$1+370+518</f>
        <v>5298</v>
      </c>
      <c r="M10" s="43">
        <v>5450</v>
      </c>
      <c r="N10" s="40"/>
      <c r="O10" s="40"/>
      <c r="P10" s="51">
        <f t="shared" si="0"/>
        <v>152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" customFormat="1" ht="16.5" customHeight="1" x14ac:dyDescent="0.35">
      <c r="A11" s="5"/>
      <c r="B11" s="6" t="s">
        <v>35</v>
      </c>
      <c r="C11" s="42"/>
      <c r="D11" s="6"/>
      <c r="E11" s="6"/>
      <c r="F11" s="42"/>
      <c r="G11" s="6"/>
      <c r="H11" s="5"/>
      <c r="I11" s="365"/>
      <c r="J11" s="37" t="s">
        <v>122</v>
      </c>
      <c r="K11" s="38">
        <v>6</v>
      </c>
      <c r="L11" s="39">
        <f>K11*P$1+518</f>
        <v>4928</v>
      </c>
      <c r="M11" s="43">
        <v>5080</v>
      </c>
      <c r="N11" s="40">
        <v>4680</v>
      </c>
      <c r="O11" s="40"/>
      <c r="P11" s="51">
        <f t="shared" si="0"/>
        <v>152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1" customFormat="1" ht="16.5" customHeight="1" x14ac:dyDescent="0.35">
      <c r="A12" s="5"/>
      <c r="B12" s="6" t="s">
        <v>135</v>
      </c>
      <c r="C12" s="42">
        <v>550</v>
      </c>
      <c r="D12" s="6"/>
      <c r="E12" s="6"/>
      <c r="F12" s="42"/>
      <c r="G12" s="6"/>
      <c r="H12" s="5"/>
      <c r="I12" s="365"/>
      <c r="J12" s="37" t="s">
        <v>123</v>
      </c>
      <c r="K12" s="38">
        <v>6</v>
      </c>
      <c r="L12" s="39">
        <f>K12*P$1+518</f>
        <v>4928</v>
      </c>
      <c r="M12" s="43">
        <v>5080</v>
      </c>
      <c r="N12" s="40"/>
      <c r="O12" s="40"/>
      <c r="P12" s="51">
        <f t="shared" si="0"/>
        <v>152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1" customFormat="1" ht="16.5" customHeight="1" x14ac:dyDescent="0.35">
      <c r="A13" s="5"/>
      <c r="B13" s="6" t="s">
        <v>3</v>
      </c>
      <c r="C13" s="42">
        <v>1000</v>
      </c>
      <c r="D13" s="6" t="s">
        <v>147</v>
      </c>
      <c r="E13" s="6"/>
      <c r="F13" s="42"/>
      <c r="G13" s="6"/>
      <c r="H13" s="5"/>
      <c r="I13" s="5"/>
      <c r="J13" s="37" t="s">
        <v>124</v>
      </c>
      <c r="K13" s="38">
        <v>6</v>
      </c>
      <c r="L13" s="39">
        <f>K13*P$1+518</f>
        <v>4928</v>
      </c>
      <c r="M13" s="43">
        <v>5080</v>
      </c>
      <c r="N13" s="40"/>
      <c r="O13" s="40"/>
      <c r="P13" s="51">
        <f t="shared" si="0"/>
        <v>152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1" customFormat="1" ht="16.5" customHeight="1" x14ac:dyDescent="0.35">
      <c r="A14" s="5"/>
      <c r="B14" s="9" t="s">
        <v>9</v>
      </c>
      <c r="C14" s="42"/>
      <c r="D14" s="6"/>
      <c r="E14" s="6"/>
      <c r="F14" s="42"/>
      <c r="G14" s="6"/>
      <c r="H14" s="5"/>
      <c r="I14" s="365" t="s">
        <v>139</v>
      </c>
      <c r="J14" s="37" t="s">
        <v>125</v>
      </c>
      <c r="K14" s="38">
        <v>3</v>
      </c>
      <c r="L14" s="39">
        <f>K14*P$1+518</f>
        <v>2723</v>
      </c>
      <c r="M14" s="43">
        <v>2990</v>
      </c>
      <c r="N14" s="40"/>
      <c r="O14" s="40"/>
      <c r="P14" s="51">
        <f>M14-L14</f>
        <v>267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2" customFormat="1" ht="16.5" customHeight="1" x14ac:dyDescent="0.35">
      <c r="A15" s="5"/>
      <c r="B15" s="6" t="s">
        <v>7</v>
      </c>
      <c r="C15" s="42">
        <v>500</v>
      </c>
      <c r="D15" s="6" t="s">
        <v>51</v>
      </c>
      <c r="E15" s="6"/>
      <c r="F15" s="42"/>
      <c r="G15" s="6"/>
      <c r="H15" s="5"/>
      <c r="I15" s="365"/>
      <c r="J15" s="37" t="s">
        <v>126</v>
      </c>
      <c r="K15" s="38">
        <v>3</v>
      </c>
      <c r="L15" s="39">
        <f>K15*P$1+518</f>
        <v>2723</v>
      </c>
      <c r="M15" s="43">
        <v>2990</v>
      </c>
      <c r="N15" s="5"/>
      <c r="O15" s="40"/>
      <c r="P15" s="51">
        <f t="shared" ref="P15:P20" si="2">M15-L15</f>
        <v>267</v>
      </c>
      <c r="Q15" s="5"/>
      <c r="R15" s="17">
        <f>M14*2</f>
        <v>5980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2" customFormat="1" ht="16.5" customHeight="1" x14ac:dyDescent="0.35">
      <c r="A16" s="5"/>
      <c r="B16" s="6" t="s">
        <v>2</v>
      </c>
      <c r="C16" s="42">
        <v>200</v>
      </c>
      <c r="D16" s="6"/>
      <c r="E16" s="6"/>
      <c r="F16" s="42"/>
      <c r="G16" s="6"/>
      <c r="H16" s="5"/>
      <c r="I16" s="365"/>
      <c r="J16" s="2" t="s">
        <v>159</v>
      </c>
      <c r="K16" s="67">
        <v>6</v>
      </c>
      <c r="N16" s="40"/>
      <c r="O16" s="40"/>
      <c r="P16" s="5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2" customFormat="1" ht="16.5" customHeight="1" x14ac:dyDescent="0.35">
      <c r="A17" s="5"/>
      <c r="B17" s="9" t="s">
        <v>10</v>
      </c>
      <c r="C17" s="42"/>
      <c r="D17" s="6"/>
      <c r="E17" s="6"/>
      <c r="F17" s="42"/>
      <c r="G17" s="6"/>
      <c r="H17" s="5"/>
      <c r="I17" s="365"/>
      <c r="J17" s="37" t="s">
        <v>127</v>
      </c>
      <c r="K17" s="38">
        <v>2</v>
      </c>
      <c r="L17" s="39">
        <f>K17*P$1+518</f>
        <v>1988</v>
      </c>
      <c r="M17" s="43">
        <v>2150</v>
      </c>
      <c r="N17" s="40">
        <v>2870</v>
      </c>
      <c r="O17" s="40"/>
      <c r="P17" s="51">
        <f t="shared" si="2"/>
        <v>162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2" customFormat="1" ht="31.5" customHeight="1" x14ac:dyDescent="0.35">
      <c r="A18" s="5"/>
      <c r="B18" s="16" t="s">
        <v>55</v>
      </c>
      <c r="C18" s="42"/>
      <c r="D18" s="12" t="s">
        <v>146</v>
      </c>
      <c r="E18" s="6"/>
      <c r="F18" s="42"/>
      <c r="G18" s="6"/>
      <c r="H18" s="5"/>
      <c r="I18" s="365"/>
      <c r="J18" s="37" t="s">
        <v>128</v>
      </c>
      <c r="K18" s="38">
        <v>2</v>
      </c>
      <c r="L18" s="39">
        <f t="shared" ref="L18:L20" si="3">K18*P$1+518</f>
        <v>1988</v>
      </c>
      <c r="M18" s="43">
        <v>2150</v>
      </c>
      <c r="N18" s="40"/>
      <c r="O18" s="40"/>
      <c r="P18" s="51">
        <f t="shared" si="2"/>
        <v>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3" customFormat="1" ht="42.65" customHeight="1" x14ac:dyDescent="0.35">
      <c r="A19" s="5"/>
      <c r="B19" s="6" t="s">
        <v>53</v>
      </c>
      <c r="C19" s="42">
        <f>(1*6*90)+(1*150)+(6*1*40)</f>
        <v>930</v>
      </c>
      <c r="D19" s="12" t="s">
        <v>52</v>
      </c>
      <c r="E19" s="6"/>
      <c r="F19" s="42"/>
      <c r="G19" s="6"/>
      <c r="H19" s="5"/>
      <c r="I19" s="365"/>
      <c r="J19" s="37" t="s">
        <v>129</v>
      </c>
      <c r="K19" s="38">
        <v>2</v>
      </c>
      <c r="L19" s="39">
        <f t="shared" si="3"/>
        <v>1988</v>
      </c>
      <c r="M19" s="43">
        <v>2150</v>
      </c>
      <c r="N19" s="40"/>
      <c r="O19" s="40"/>
      <c r="P19" s="51">
        <f t="shared" si="2"/>
        <v>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3" customFormat="1" ht="16.5" customHeight="1" x14ac:dyDescent="0.35">
      <c r="A20" s="5"/>
      <c r="B20" s="6" t="s">
        <v>4</v>
      </c>
      <c r="C20" s="42">
        <v>4000</v>
      </c>
      <c r="D20" s="6" t="s">
        <v>136</v>
      </c>
      <c r="E20" s="6"/>
      <c r="F20" s="42"/>
      <c r="G20" s="6"/>
      <c r="H20" s="5"/>
      <c r="I20" s="5"/>
      <c r="J20" s="44" t="s">
        <v>143</v>
      </c>
      <c r="K20" s="60">
        <v>2</v>
      </c>
      <c r="L20" s="61">
        <f t="shared" si="3"/>
        <v>1988</v>
      </c>
      <c r="M20" s="43">
        <v>2150</v>
      </c>
      <c r="N20" s="32"/>
      <c r="O20" s="32"/>
      <c r="P20" s="51">
        <f t="shared" si="2"/>
        <v>162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3" customFormat="1" ht="16.5" customHeight="1" x14ac:dyDescent="0.35">
      <c r="A21" s="5"/>
      <c r="B21" s="6" t="s">
        <v>5</v>
      </c>
      <c r="C21" s="42">
        <f>C20*0.2</f>
        <v>800</v>
      </c>
      <c r="D21" s="6" t="s">
        <v>54</v>
      </c>
      <c r="E21" s="6"/>
      <c r="F21" s="42"/>
      <c r="G21" s="6"/>
      <c r="H21" s="5"/>
      <c r="I21" s="5"/>
      <c r="J21" s="62"/>
      <c r="K21" s="63"/>
      <c r="L21" s="64"/>
      <c r="M21" s="64"/>
      <c r="N21" s="65"/>
      <c r="O21" s="65"/>
      <c r="P21" s="6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s="3" customFormat="1" ht="16.5" customHeight="1" x14ac:dyDescent="0.35">
      <c r="A22" s="5"/>
      <c r="B22" s="6"/>
      <c r="C22" s="42"/>
      <c r="D22" s="5"/>
      <c r="E22" s="6"/>
      <c r="F22" s="42"/>
      <c r="G22" s="6"/>
      <c r="H22" s="5"/>
      <c r="I22" s="5"/>
      <c r="J22" s="5"/>
      <c r="K22" s="68">
        <f>SUM(K7:K21)</f>
        <v>66</v>
      </c>
      <c r="L22" s="34">
        <f>SUM(L7:L21)</f>
        <v>52314</v>
      </c>
      <c r="M22" s="34">
        <f>SUM(M7:M21)</f>
        <v>54560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5">
      <c r="B23" s="9"/>
      <c r="C23" s="42"/>
      <c r="D23" s="7"/>
      <c r="E23" s="10" t="s">
        <v>12</v>
      </c>
      <c r="F23" s="42">
        <f>C27*0.305</f>
        <v>16742.364999999998</v>
      </c>
      <c r="G23" s="7" t="s">
        <v>149</v>
      </c>
      <c r="K23" s="35">
        <f>K2-K22</f>
        <v>0</v>
      </c>
      <c r="L23" s="36">
        <f>L2-L22</f>
        <v>-14578</v>
      </c>
      <c r="M23" s="36">
        <f>L2-M22</f>
        <v>-16824</v>
      </c>
    </row>
    <row r="24" spans="1:47" x14ac:dyDescent="0.35">
      <c r="B24" s="4"/>
      <c r="C24" s="45"/>
      <c r="D24" s="4"/>
      <c r="E24" s="4"/>
      <c r="F24" s="45"/>
      <c r="G24" s="4"/>
    </row>
    <row r="25" spans="1:47" x14ac:dyDescent="0.35">
      <c r="B25" s="4"/>
      <c r="C25" s="45"/>
      <c r="D25" s="4"/>
      <c r="E25" s="4"/>
      <c r="F25" s="45"/>
      <c r="G25" s="4"/>
    </row>
    <row r="26" spans="1:47" x14ac:dyDescent="0.35">
      <c r="B26" s="4"/>
      <c r="C26" s="45"/>
      <c r="D26" s="4"/>
      <c r="E26" s="4"/>
      <c r="F26" s="45"/>
      <c r="G26" s="4"/>
    </row>
    <row r="27" spans="1:47" x14ac:dyDescent="0.35">
      <c r="B27" s="11" t="s">
        <v>31</v>
      </c>
      <c r="C27" s="47">
        <f>SUM(C3:C26)</f>
        <v>54893</v>
      </c>
      <c r="D27" s="11"/>
      <c r="E27" s="11" t="s">
        <v>31</v>
      </c>
      <c r="F27" s="47">
        <f>SUM(F3:F26)</f>
        <v>58992.364999999998</v>
      </c>
      <c r="G27" s="11"/>
      <c r="J27" s="17">
        <f>C27-F27</f>
        <v>-4099.364999999998</v>
      </c>
      <c r="K27" s="17">
        <f>J27/2</f>
        <v>-2049.682499999999</v>
      </c>
    </row>
    <row r="29" spans="1:47" x14ac:dyDescent="0.35">
      <c r="F29" s="46">
        <f>SUM(F4:F15)*0.09</f>
        <v>3802.5</v>
      </c>
    </row>
    <row r="30" spans="1:47" x14ac:dyDescent="0.35">
      <c r="F30" s="46">
        <f>F27-F29</f>
        <v>55189.864999999998</v>
      </c>
    </row>
    <row r="31" spans="1:47" x14ac:dyDescent="0.35">
      <c r="E31" s="48" t="s">
        <v>148</v>
      </c>
      <c r="F31" s="49">
        <f>F30-C27</f>
        <v>296.86499999999796</v>
      </c>
    </row>
  </sheetData>
  <mergeCells count="6">
    <mergeCell ref="I14:I19"/>
    <mergeCell ref="C1:D1"/>
    <mergeCell ref="F1:G1"/>
    <mergeCell ref="K1:L1"/>
    <mergeCell ref="N1:O1"/>
    <mergeCell ref="I7:I12"/>
  </mergeCells>
  <pageMargins left="0.25" right="0.25" top="0.75" bottom="0.75" header="0.3" footer="0.3"/>
  <pageSetup paperSize="8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I6" sqref="I6:I8"/>
    </sheetView>
  </sheetViews>
  <sheetFormatPr baseColWidth="10" defaultRowHeight="14.5" x14ac:dyDescent="0.35"/>
  <cols>
    <col min="2" max="2" width="25.453125" customWidth="1"/>
    <col min="4" max="4" width="23.453125" customWidth="1"/>
    <col min="5" max="5" width="19.54296875" customWidth="1"/>
  </cols>
  <sheetData>
    <row r="2" spans="1:10" x14ac:dyDescent="0.35">
      <c r="B2" s="28" t="s">
        <v>74</v>
      </c>
      <c r="C2" s="28"/>
      <c r="D2" s="28"/>
      <c r="E2" s="28"/>
      <c r="F2" s="28"/>
      <c r="G2" s="28"/>
      <c r="H2" s="28"/>
      <c r="I2" s="28"/>
    </row>
    <row r="3" spans="1:10" x14ac:dyDescent="0.35">
      <c r="B3" s="28"/>
      <c r="C3" s="28"/>
      <c r="D3" s="28"/>
      <c r="E3" s="28"/>
      <c r="F3" s="28"/>
      <c r="G3" s="28"/>
      <c r="H3" s="28"/>
      <c r="I3" s="28"/>
    </row>
    <row r="4" spans="1:10" x14ac:dyDescent="0.35">
      <c r="B4" s="28" t="s">
        <v>75</v>
      </c>
      <c r="C4" s="28" t="s">
        <v>76</v>
      </c>
      <c r="D4" s="28" t="s">
        <v>77</v>
      </c>
      <c r="E4" s="28" t="s">
        <v>78</v>
      </c>
      <c r="F4" s="28" t="s">
        <v>118</v>
      </c>
      <c r="G4" s="28" t="s">
        <v>79</v>
      </c>
      <c r="H4" s="28" t="s">
        <v>119</v>
      </c>
      <c r="I4" s="28" t="s">
        <v>120</v>
      </c>
    </row>
    <row r="5" spans="1:10" x14ac:dyDescent="0.35">
      <c r="B5" s="1" t="s">
        <v>80</v>
      </c>
      <c r="C5" s="28"/>
      <c r="D5" s="28"/>
      <c r="E5" s="28" t="s">
        <v>81</v>
      </c>
      <c r="F5" s="31">
        <v>875</v>
      </c>
      <c r="G5" s="28">
        <v>12</v>
      </c>
      <c r="H5" s="31">
        <v>643.5</v>
      </c>
      <c r="I5" s="31">
        <v>8597</v>
      </c>
    </row>
    <row r="6" spans="1:10" x14ac:dyDescent="0.35">
      <c r="A6">
        <v>1</v>
      </c>
      <c r="B6" s="28" t="s">
        <v>82</v>
      </c>
      <c r="C6" s="28" t="s">
        <v>83</v>
      </c>
      <c r="D6" s="28" t="s">
        <v>84</v>
      </c>
      <c r="E6" s="28" t="s">
        <v>85</v>
      </c>
      <c r="F6" s="31">
        <v>498</v>
      </c>
      <c r="G6" s="28">
        <v>6</v>
      </c>
      <c r="H6" s="31">
        <v>643.5</v>
      </c>
      <c r="I6" s="31">
        <v>4359</v>
      </c>
      <c r="J6" s="31"/>
    </row>
    <row r="7" spans="1:10" x14ac:dyDescent="0.35">
      <c r="A7" s="28">
        <v>2</v>
      </c>
      <c r="B7" s="28" t="s">
        <v>86</v>
      </c>
      <c r="C7" s="28" t="s">
        <v>87</v>
      </c>
      <c r="D7" s="28" t="s">
        <v>88</v>
      </c>
      <c r="E7" s="28" t="s">
        <v>85</v>
      </c>
      <c r="F7" s="31">
        <v>498</v>
      </c>
      <c r="G7" s="28">
        <v>6</v>
      </c>
      <c r="H7" s="31">
        <v>643.5</v>
      </c>
      <c r="I7" s="31">
        <v>4359</v>
      </c>
    </row>
    <row r="8" spans="1:10" x14ac:dyDescent="0.35">
      <c r="A8" s="28">
        <v>3</v>
      </c>
      <c r="B8" s="28" t="s">
        <v>89</v>
      </c>
      <c r="C8" s="28" t="s">
        <v>90</v>
      </c>
      <c r="D8" s="28" t="s">
        <v>91</v>
      </c>
      <c r="E8" s="28" t="s">
        <v>85</v>
      </c>
      <c r="F8" s="31">
        <v>498</v>
      </c>
      <c r="G8" s="28">
        <v>6</v>
      </c>
      <c r="H8" s="31">
        <v>643.5</v>
      </c>
      <c r="I8" s="31">
        <v>4359</v>
      </c>
    </row>
    <row r="9" spans="1:10" x14ac:dyDescent="0.35">
      <c r="A9" s="28">
        <v>4</v>
      </c>
      <c r="B9" s="28" t="s">
        <v>92</v>
      </c>
      <c r="C9" s="28" t="s">
        <v>93</v>
      </c>
      <c r="D9" s="28" t="s">
        <v>94</v>
      </c>
      <c r="E9" s="28" t="s">
        <v>95</v>
      </c>
      <c r="F9" s="31">
        <v>860</v>
      </c>
      <c r="G9" s="28">
        <v>0</v>
      </c>
      <c r="H9" s="31">
        <v>643.5</v>
      </c>
      <c r="I9" s="31">
        <v>860</v>
      </c>
    </row>
    <row r="10" spans="1:10" x14ac:dyDescent="0.35">
      <c r="A10" s="28">
        <v>5</v>
      </c>
      <c r="B10" s="28" t="s">
        <v>96</v>
      </c>
      <c r="C10" s="28" t="s">
        <v>97</v>
      </c>
      <c r="D10" s="28" t="s">
        <v>98</v>
      </c>
      <c r="E10" s="28" t="s">
        <v>95</v>
      </c>
      <c r="F10" s="31">
        <v>860</v>
      </c>
      <c r="G10" s="28">
        <v>0</v>
      </c>
      <c r="H10" s="31">
        <v>643.5</v>
      </c>
      <c r="I10" s="31">
        <v>860</v>
      </c>
    </row>
    <row r="11" spans="1:10" x14ac:dyDescent="0.35">
      <c r="A11" s="28">
        <v>6</v>
      </c>
      <c r="B11" s="28" t="s">
        <v>99</v>
      </c>
      <c r="C11" s="28" t="s">
        <v>100</v>
      </c>
      <c r="D11" s="28" t="s">
        <v>101</v>
      </c>
      <c r="E11" s="28" t="s">
        <v>95</v>
      </c>
      <c r="F11" s="31">
        <v>860</v>
      </c>
      <c r="G11" s="28">
        <v>0</v>
      </c>
      <c r="H11" s="31">
        <v>643.5</v>
      </c>
      <c r="I11" s="31">
        <v>860</v>
      </c>
    </row>
    <row r="12" spans="1:10" x14ac:dyDescent="0.35">
      <c r="B12" s="1" t="s">
        <v>102</v>
      </c>
      <c r="C12" s="28"/>
      <c r="D12" s="28"/>
      <c r="E12" s="28" t="s">
        <v>103</v>
      </c>
      <c r="F12" s="31">
        <v>498</v>
      </c>
      <c r="G12" s="28">
        <v>6</v>
      </c>
      <c r="H12" s="31">
        <v>643.5</v>
      </c>
      <c r="I12" s="31">
        <v>4359</v>
      </c>
    </row>
    <row r="13" spans="1:10" x14ac:dyDescent="0.35">
      <c r="A13">
        <v>7</v>
      </c>
      <c r="B13" s="28" t="s">
        <v>104</v>
      </c>
      <c r="C13" s="28" t="s">
        <v>105</v>
      </c>
      <c r="D13" s="28" t="s">
        <v>106</v>
      </c>
      <c r="E13" s="28" t="s">
        <v>85</v>
      </c>
      <c r="F13" s="31">
        <v>498</v>
      </c>
      <c r="G13" s="28">
        <v>6</v>
      </c>
      <c r="H13" s="31">
        <v>643.5</v>
      </c>
      <c r="I13" s="31">
        <v>4359</v>
      </c>
    </row>
    <row r="14" spans="1:10" x14ac:dyDescent="0.35">
      <c r="A14" s="28">
        <v>8</v>
      </c>
      <c r="B14" s="28" t="s">
        <v>107</v>
      </c>
      <c r="C14" s="28" t="s">
        <v>108</v>
      </c>
      <c r="D14" s="28" t="s">
        <v>109</v>
      </c>
      <c r="E14" s="28" t="s">
        <v>85</v>
      </c>
      <c r="F14" s="31">
        <v>498</v>
      </c>
      <c r="G14" s="28">
        <v>6</v>
      </c>
      <c r="H14" s="31">
        <v>643.5</v>
      </c>
      <c r="I14" s="31">
        <v>4359</v>
      </c>
    </row>
    <row r="15" spans="1:10" x14ac:dyDescent="0.35">
      <c r="A15" s="28">
        <v>9</v>
      </c>
      <c r="B15" s="28" t="s">
        <v>110</v>
      </c>
      <c r="C15" s="28" t="s">
        <v>111</v>
      </c>
      <c r="D15" s="28" t="s">
        <v>112</v>
      </c>
      <c r="E15" s="28" t="s">
        <v>85</v>
      </c>
      <c r="F15" s="31">
        <v>498</v>
      </c>
      <c r="G15" s="28">
        <v>6</v>
      </c>
      <c r="H15" s="31">
        <v>643.5</v>
      </c>
      <c r="I15" s="31">
        <v>4359</v>
      </c>
    </row>
    <row r="16" spans="1:10" x14ac:dyDescent="0.35">
      <c r="A16" s="28">
        <v>10</v>
      </c>
      <c r="B16" s="28" t="s">
        <v>113</v>
      </c>
      <c r="C16" s="28" t="s">
        <v>114</v>
      </c>
      <c r="D16" s="28" t="s">
        <v>115</v>
      </c>
      <c r="E16" s="28" t="s">
        <v>85</v>
      </c>
      <c r="F16" s="31">
        <v>498</v>
      </c>
      <c r="G16" s="28">
        <v>6</v>
      </c>
      <c r="H16" s="31">
        <v>643.5</v>
      </c>
      <c r="I16" s="31">
        <v>4359</v>
      </c>
    </row>
    <row r="17" spans="2:9" x14ac:dyDescent="0.35">
      <c r="B17" s="28"/>
      <c r="C17" s="28"/>
      <c r="D17" s="28"/>
      <c r="E17" s="28"/>
      <c r="F17" s="28"/>
      <c r="G17" s="28"/>
      <c r="H17" s="28"/>
      <c r="I17" s="28"/>
    </row>
    <row r="18" spans="2:9" x14ac:dyDescent="0.35">
      <c r="B18" s="28" t="s">
        <v>116</v>
      </c>
      <c r="C18" s="28"/>
      <c r="D18" s="28"/>
      <c r="E18" s="28"/>
      <c r="F18" s="31">
        <v>357</v>
      </c>
      <c r="G18" s="28">
        <v>2</v>
      </c>
      <c r="H18" s="28"/>
      <c r="I18" s="31">
        <v>714</v>
      </c>
    </row>
    <row r="19" spans="2:9" x14ac:dyDescent="0.35">
      <c r="B19" s="28"/>
      <c r="C19" s="28"/>
      <c r="D19" s="28"/>
      <c r="E19" s="28"/>
      <c r="F19" s="28"/>
      <c r="G19" s="28"/>
      <c r="H19" s="28"/>
      <c r="I19" s="28" t="s">
        <v>121</v>
      </c>
    </row>
    <row r="20" spans="2:9" x14ac:dyDescent="0.35">
      <c r="B20" s="28" t="s">
        <v>117</v>
      </c>
      <c r="C20" s="28"/>
      <c r="D20" s="28"/>
      <c r="E20" s="28"/>
      <c r="F20" s="28"/>
      <c r="G20" s="28">
        <v>60</v>
      </c>
      <c r="H20" s="28"/>
      <c r="I20" s="31">
        <v>46763</v>
      </c>
    </row>
    <row r="21" spans="2:9" x14ac:dyDescent="0.35">
      <c r="B21" s="28"/>
      <c r="C21" s="28"/>
      <c r="D21" s="28"/>
      <c r="E21" s="28"/>
      <c r="F21" s="28"/>
      <c r="G21" s="28"/>
      <c r="H21" s="28"/>
      <c r="I21" s="28" t="s">
        <v>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B9" sqref="B2:E9"/>
    </sheetView>
  </sheetViews>
  <sheetFormatPr baseColWidth="10" defaultRowHeight="14.5" x14ac:dyDescent="0.35"/>
  <cols>
    <col min="2" max="2" width="36.81640625" customWidth="1"/>
    <col min="7" max="12" width="24.81640625" style="23" customWidth="1"/>
  </cols>
  <sheetData>
    <row r="1" spans="2:13" x14ac:dyDescent="0.35">
      <c r="G1" s="373" t="s">
        <v>73</v>
      </c>
      <c r="H1" s="373"/>
    </row>
    <row r="2" spans="2:13" x14ac:dyDescent="0.35">
      <c r="B2" s="18" t="s">
        <v>13</v>
      </c>
      <c r="C2" s="19"/>
      <c r="D2" s="20"/>
      <c r="E2" s="20"/>
      <c r="G2" s="24" t="s">
        <v>57</v>
      </c>
      <c r="H2" s="24" t="s">
        <v>58</v>
      </c>
      <c r="I2" s="24" t="s">
        <v>59</v>
      </c>
      <c r="J2" s="24" t="s">
        <v>60</v>
      </c>
      <c r="K2" s="24" t="s">
        <v>61</v>
      </c>
      <c r="L2" s="24" t="s">
        <v>62</v>
      </c>
      <c r="M2" s="25"/>
    </row>
    <row r="3" spans="2:13" ht="22" x14ac:dyDescent="0.35">
      <c r="B3" s="18" t="s">
        <v>14</v>
      </c>
      <c r="C3" s="19">
        <v>1</v>
      </c>
      <c r="D3" s="20">
        <v>50</v>
      </c>
      <c r="E3" s="20">
        <f t="shared" ref="E3:E18" si="0">SUM(C3*D3)</f>
        <v>50</v>
      </c>
      <c r="G3" s="24" t="s">
        <v>63</v>
      </c>
      <c r="H3" s="24" t="s">
        <v>64</v>
      </c>
      <c r="I3" s="24" t="s">
        <v>64</v>
      </c>
      <c r="J3" s="24" t="s">
        <v>64</v>
      </c>
      <c r="K3" s="24" t="s">
        <v>64</v>
      </c>
      <c r="L3" s="24" t="s">
        <v>64</v>
      </c>
      <c r="M3" s="25"/>
    </row>
    <row r="4" spans="2:13" ht="43" x14ac:dyDescent="0.35">
      <c r="B4" s="18" t="s">
        <v>15</v>
      </c>
      <c r="C4" s="19">
        <v>1</v>
      </c>
      <c r="D4" s="20">
        <v>96.02</v>
      </c>
      <c r="E4" s="20">
        <f t="shared" si="0"/>
        <v>96.02</v>
      </c>
      <c r="G4" s="24" t="s">
        <v>65</v>
      </c>
      <c r="H4" s="24" t="s">
        <v>66</v>
      </c>
      <c r="I4" s="24" t="s">
        <v>66</v>
      </c>
      <c r="J4" s="24" t="s">
        <v>66</v>
      </c>
      <c r="K4" s="24" t="s">
        <v>66</v>
      </c>
      <c r="L4" s="24" t="s">
        <v>66</v>
      </c>
      <c r="M4" s="25"/>
    </row>
    <row r="5" spans="2:13" ht="74.5" x14ac:dyDescent="0.35">
      <c r="B5" s="18" t="s">
        <v>16</v>
      </c>
      <c r="C5" s="19">
        <v>4</v>
      </c>
      <c r="D5" s="20">
        <v>160</v>
      </c>
      <c r="E5" s="20">
        <f t="shared" si="0"/>
        <v>640</v>
      </c>
      <c r="G5" s="24" t="s">
        <v>67</v>
      </c>
      <c r="H5" s="24" t="s">
        <v>68</v>
      </c>
      <c r="I5" s="24" t="s">
        <v>69</v>
      </c>
      <c r="J5" s="24" t="s">
        <v>69</v>
      </c>
      <c r="K5" s="24" t="s">
        <v>69</v>
      </c>
      <c r="L5" s="24" t="s">
        <v>69</v>
      </c>
      <c r="M5" s="25"/>
    </row>
    <row r="6" spans="2:13" x14ac:dyDescent="0.35">
      <c r="B6" s="18" t="s">
        <v>17</v>
      </c>
      <c r="C6" s="19">
        <v>1</v>
      </c>
      <c r="D6" s="20">
        <v>30</v>
      </c>
      <c r="E6" s="20">
        <f t="shared" si="0"/>
        <v>30</v>
      </c>
      <c r="G6" s="24"/>
      <c r="H6" s="24"/>
      <c r="I6" s="24"/>
      <c r="J6" s="24"/>
      <c r="K6" s="24"/>
      <c r="L6" s="24"/>
      <c r="M6" s="25"/>
    </row>
    <row r="7" spans="2:13" x14ac:dyDescent="0.35">
      <c r="B7" s="18" t="s">
        <v>18</v>
      </c>
      <c r="C7" s="19">
        <v>2</v>
      </c>
      <c r="D7" s="20">
        <v>46.8</v>
      </c>
      <c r="E7" s="20">
        <f t="shared" si="0"/>
        <v>93.6</v>
      </c>
      <c r="G7" s="24" t="s">
        <v>70</v>
      </c>
      <c r="H7" s="26">
        <v>159.33000000000001</v>
      </c>
      <c r="I7" s="26">
        <v>130.72999999999999</v>
      </c>
      <c r="J7" s="26">
        <v>130.72999999999999</v>
      </c>
      <c r="K7" s="26">
        <v>130.72999999999999</v>
      </c>
      <c r="L7" s="26">
        <v>130.72999999999999</v>
      </c>
      <c r="M7" s="27">
        <v>682.25</v>
      </c>
    </row>
    <row r="8" spans="2:13" x14ac:dyDescent="0.35">
      <c r="B8" s="18" t="s">
        <v>19</v>
      </c>
      <c r="C8" s="19">
        <v>1</v>
      </c>
      <c r="D8" s="20">
        <v>94</v>
      </c>
      <c r="E8" s="20">
        <f t="shared" si="0"/>
        <v>94</v>
      </c>
      <c r="G8" s="24"/>
      <c r="H8" s="24"/>
      <c r="I8" s="24"/>
      <c r="J8" s="24"/>
      <c r="K8" s="24"/>
      <c r="L8" s="24"/>
      <c r="M8" s="25"/>
    </row>
    <row r="9" spans="2:13" x14ac:dyDescent="0.35">
      <c r="B9" s="18" t="s">
        <v>20</v>
      </c>
      <c r="C9" s="19">
        <v>8</v>
      </c>
      <c r="D9" s="20">
        <v>19.5</v>
      </c>
      <c r="E9" s="20">
        <f t="shared" si="0"/>
        <v>156</v>
      </c>
      <c r="G9" s="24" t="s">
        <v>71</v>
      </c>
      <c r="H9" s="24"/>
      <c r="I9" s="24"/>
      <c r="J9" s="24"/>
      <c r="K9" s="24"/>
      <c r="L9" s="24"/>
      <c r="M9" s="25"/>
    </row>
    <row r="10" spans="2:13" ht="53.5" customHeight="1" x14ac:dyDescent="0.35">
      <c r="B10" s="18" t="s">
        <v>21</v>
      </c>
      <c r="C10" s="19">
        <v>20</v>
      </c>
      <c r="D10" s="20">
        <v>0.98</v>
      </c>
      <c r="E10" s="20">
        <f t="shared" si="0"/>
        <v>19.600000000000001</v>
      </c>
      <c r="G10" s="374" t="s">
        <v>72</v>
      </c>
      <c r="H10" s="375"/>
      <c r="I10" s="24"/>
      <c r="J10" s="24"/>
      <c r="K10" s="24"/>
      <c r="L10" s="24"/>
      <c r="M10" s="25"/>
    </row>
    <row r="11" spans="2:13" x14ac:dyDescent="0.35">
      <c r="B11" s="18" t="s">
        <v>22</v>
      </c>
      <c r="C11" s="19">
        <v>24</v>
      </c>
      <c r="D11" s="20">
        <v>1.95</v>
      </c>
      <c r="E11" s="20">
        <f t="shared" si="0"/>
        <v>46.8</v>
      </c>
    </row>
    <row r="12" spans="2:13" x14ac:dyDescent="0.35">
      <c r="B12" s="18" t="s">
        <v>23</v>
      </c>
      <c r="C12" s="19">
        <v>18</v>
      </c>
      <c r="D12" s="20">
        <v>3.25</v>
      </c>
      <c r="E12" s="20">
        <f t="shared" si="0"/>
        <v>58.5</v>
      </c>
    </row>
    <row r="13" spans="2:13" x14ac:dyDescent="0.35">
      <c r="B13" s="18" t="s">
        <v>24</v>
      </c>
      <c r="C13" s="19">
        <v>18</v>
      </c>
      <c r="D13" s="20">
        <v>3.6</v>
      </c>
      <c r="E13" s="20">
        <f t="shared" si="0"/>
        <v>64.8</v>
      </c>
    </row>
    <row r="14" spans="2:13" x14ac:dyDescent="0.35">
      <c r="B14" s="18" t="s">
        <v>25</v>
      </c>
      <c r="C14" s="19">
        <v>20</v>
      </c>
      <c r="D14" s="20">
        <v>6.48</v>
      </c>
      <c r="E14" s="20">
        <f t="shared" si="0"/>
        <v>129.60000000000002</v>
      </c>
    </row>
    <row r="15" spans="2:13" x14ac:dyDescent="0.35">
      <c r="B15" s="18" t="s">
        <v>26</v>
      </c>
      <c r="C15" s="19">
        <v>5</v>
      </c>
      <c r="D15" s="20">
        <v>3.8</v>
      </c>
      <c r="E15" s="20">
        <f t="shared" si="0"/>
        <v>19</v>
      </c>
    </row>
    <row r="16" spans="2:13" x14ac:dyDescent="0.35">
      <c r="B16" s="18" t="s">
        <v>27</v>
      </c>
      <c r="C16" s="19">
        <v>2</v>
      </c>
      <c r="D16" s="20">
        <v>11.7</v>
      </c>
      <c r="E16" s="20">
        <f t="shared" si="0"/>
        <v>23.4</v>
      </c>
    </row>
    <row r="17" spans="2:5" x14ac:dyDescent="0.35">
      <c r="B17" s="18" t="s">
        <v>28</v>
      </c>
      <c r="C17" s="19">
        <v>2</v>
      </c>
      <c r="D17" s="20">
        <v>5.9</v>
      </c>
      <c r="E17" s="20">
        <f t="shared" si="0"/>
        <v>11.8</v>
      </c>
    </row>
    <row r="18" spans="2:5" x14ac:dyDescent="0.35">
      <c r="B18" s="18" t="s">
        <v>29</v>
      </c>
      <c r="C18" s="19">
        <v>5</v>
      </c>
      <c r="D18" s="20">
        <v>48</v>
      </c>
      <c r="E18" s="20">
        <f t="shared" si="0"/>
        <v>240</v>
      </c>
    </row>
    <row r="19" spans="2:5" x14ac:dyDescent="0.35">
      <c r="B19" s="21" t="s">
        <v>30</v>
      </c>
      <c r="C19" s="19"/>
      <c r="D19" s="20"/>
      <c r="E19" s="22">
        <f>SUM(E3:E18)</f>
        <v>1773.1199999999997</v>
      </c>
    </row>
  </sheetData>
  <mergeCells count="2">
    <mergeCell ref="G1:H1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zoomScale="40" zoomScaleNormal="40" workbookViewId="0">
      <selection activeCell="R15" sqref="R15"/>
    </sheetView>
  </sheetViews>
  <sheetFormatPr baseColWidth="10" defaultColWidth="10.90625" defaultRowHeight="15.5" x14ac:dyDescent="0.35"/>
  <cols>
    <col min="1" max="1" width="10.90625" style="28"/>
    <col min="2" max="2" width="14.1796875" style="28" customWidth="1"/>
    <col min="3" max="14" width="5.54296875" style="28" customWidth="1"/>
    <col min="15" max="15" width="10.90625" style="28"/>
    <col min="16" max="27" width="5.54296875" style="28" customWidth="1"/>
    <col min="28" max="35" width="10.90625" style="28"/>
    <col min="36" max="36" width="8.1796875" style="304" customWidth="1"/>
    <col min="37" max="37" width="42.81640625" style="304" customWidth="1"/>
    <col min="38" max="38" width="22.54296875" style="305" customWidth="1"/>
    <col min="39" max="16384" width="10.90625" style="28"/>
  </cols>
  <sheetData>
    <row r="1" spans="1:38" ht="39" customHeight="1" thickBot="1" x14ac:dyDescent="0.8">
      <c r="B1" s="128"/>
      <c r="C1" s="129"/>
      <c r="D1" s="129"/>
      <c r="E1" s="134"/>
      <c r="F1" s="134"/>
      <c r="G1" s="134"/>
      <c r="H1" s="134"/>
      <c r="I1" s="134" t="s">
        <v>251</v>
      </c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36"/>
      <c r="U1" s="136"/>
      <c r="V1" s="136"/>
      <c r="W1" s="136"/>
      <c r="X1" s="137"/>
      <c r="Y1" s="134"/>
      <c r="Z1" s="134"/>
      <c r="AA1" s="222" t="s">
        <v>299</v>
      </c>
      <c r="AB1" s="134"/>
      <c r="AC1" s="134"/>
      <c r="AD1" s="134"/>
      <c r="AE1" s="134"/>
      <c r="AF1" s="134"/>
      <c r="AG1" s="135"/>
    </row>
    <row r="2" spans="1:38" s="94" customFormat="1" ht="47.5" customHeight="1" thickBot="1" x14ac:dyDescent="0.4">
      <c r="I2" s="306">
        <v>6</v>
      </c>
      <c r="O2" s="148">
        <v>3</v>
      </c>
      <c r="AB2" s="148"/>
      <c r="AJ2" s="307"/>
      <c r="AK2" s="307"/>
      <c r="AL2" s="308"/>
    </row>
    <row r="3" spans="1:38" ht="28.5" customHeight="1" x14ac:dyDescent="0.35">
      <c r="A3" s="130"/>
      <c r="B3" s="94"/>
      <c r="C3" s="287"/>
      <c r="D3" s="224"/>
      <c r="E3" s="288">
        <v>3.5</v>
      </c>
      <c r="F3" s="223"/>
      <c r="G3" s="223"/>
      <c r="H3" s="289"/>
      <c r="I3" s="296"/>
      <c r="J3" s="288"/>
      <c r="K3" s="224">
        <v>2.5</v>
      </c>
      <c r="L3" s="223"/>
      <c r="M3" s="223"/>
      <c r="N3" s="225"/>
      <c r="O3" s="94"/>
      <c r="P3" s="214"/>
      <c r="Q3" s="215"/>
      <c r="R3" s="216"/>
      <c r="S3" s="215">
        <v>3</v>
      </c>
      <c r="T3" s="216"/>
      <c r="U3" s="217"/>
      <c r="V3" s="277"/>
      <c r="W3" s="216"/>
      <c r="X3" s="215"/>
      <c r="Y3" s="215">
        <v>3</v>
      </c>
      <c r="Z3" s="216"/>
      <c r="AA3" s="230"/>
      <c r="AB3" s="94"/>
      <c r="AC3" s="140"/>
      <c r="AD3" s="141"/>
      <c r="AE3" s="141"/>
      <c r="AF3" s="141"/>
      <c r="AG3" s="141"/>
      <c r="AH3" s="142"/>
      <c r="AJ3" s="355" t="s">
        <v>314</v>
      </c>
      <c r="AK3" s="309" t="s">
        <v>315</v>
      </c>
      <c r="AL3" s="309" t="s">
        <v>133</v>
      </c>
    </row>
    <row r="4" spans="1:38" ht="28.5" customHeight="1" x14ac:dyDescent="0.65">
      <c r="A4" s="131"/>
      <c r="B4" s="94"/>
      <c r="C4" s="290"/>
      <c r="D4" s="226"/>
      <c r="E4" s="226"/>
      <c r="F4" s="226"/>
      <c r="G4" s="226"/>
      <c r="H4" s="291"/>
      <c r="I4" s="297"/>
      <c r="J4" s="267" t="s">
        <v>266</v>
      </c>
      <c r="K4" s="226"/>
      <c r="L4" s="226"/>
      <c r="M4" s="226"/>
      <c r="N4" s="298">
        <v>2.5</v>
      </c>
      <c r="O4" s="94"/>
      <c r="P4" s="109"/>
      <c r="Q4" s="107"/>
      <c r="R4" s="107"/>
      <c r="S4" s="107"/>
      <c r="T4" s="107"/>
      <c r="U4" s="108"/>
      <c r="V4" s="115"/>
      <c r="W4" s="107"/>
      <c r="X4" s="107"/>
      <c r="Y4" s="107"/>
      <c r="Z4" s="107"/>
      <c r="AA4" s="116"/>
      <c r="AB4" s="94"/>
      <c r="AC4" s="138"/>
      <c r="AD4" s="125"/>
      <c r="AE4" s="125"/>
      <c r="AF4" s="125"/>
      <c r="AG4" s="125"/>
      <c r="AH4" s="126"/>
      <c r="AJ4" s="355"/>
      <c r="AK4" s="310" t="s">
        <v>316</v>
      </c>
      <c r="AL4" s="311">
        <v>6</v>
      </c>
    </row>
    <row r="5" spans="1:38" ht="28.5" customHeight="1" x14ac:dyDescent="0.75">
      <c r="A5" s="131"/>
      <c r="B5" s="94"/>
      <c r="C5" s="290">
        <v>2.5</v>
      </c>
      <c r="D5" s="267" t="s">
        <v>317</v>
      </c>
      <c r="E5" s="226"/>
      <c r="F5" s="226"/>
      <c r="G5" s="228"/>
      <c r="H5" s="292"/>
      <c r="I5" s="299"/>
      <c r="J5" s="267" t="s">
        <v>318</v>
      </c>
      <c r="K5" s="226"/>
      <c r="L5" s="226"/>
      <c r="M5" s="226"/>
      <c r="N5" s="227"/>
      <c r="O5" s="94"/>
      <c r="P5" s="259">
        <v>3</v>
      </c>
      <c r="Q5" s="107"/>
      <c r="R5" s="111" t="s">
        <v>231</v>
      </c>
      <c r="S5" s="107"/>
      <c r="T5" s="107"/>
      <c r="U5" s="108"/>
      <c r="V5" s="115"/>
      <c r="W5" s="107"/>
      <c r="X5" s="107"/>
      <c r="Y5" s="107"/>
      <c r="Z5" s="107"/>
      <c r="AA5" s="116"/>
      <c r="AB5" s="94"/>
      <c r="AC5" s="138"/>
      <c r="AD5" s="125"/>
      <c r="AE5" s="125"/>
      <c r="AF5" s="125"/>
      <c r="AG5" s="125"/>
      <c r="AH5" s="126"/>
      <c r="AJ5" s="355"/>
      <c r="AK5" s="310" t="s">
        <v>226</v>
      </c>
      <c r="AL5" s="311">
        <v>22</v>
      </c>
    </row>
    <row r="6" spans="1:38" ht="28.5" customHeight="1" x14ac:dyDescent="0.75">
      <c r="A6" s="131"/>
      <c r="B6" s="94"/>
      <c r="C6" s="293"/>
      <c r="D6" s="228" t="s">
        <v>319</v>
      </c>
      <c r="E6" s="226"/>
      <c r="F6" s="229"/>
      <c r="G6" s="228"/>
      <c r="H6" s="292"/>
      <c r="I6" s="312"/>
      <c r="J6" s="313"/>
      <c r="K6" s="314"/>
      <c r="L6" s="313"/>
      <c r="M6" s="313"/>
      <c r="N6" s="315"/>
      <c r="O6" s="94"/>
      <c r="P6" s="109"/>
      <c r="Q6" s="111"/>
      <c r="R6" s="111" t="s">
        <v>193</v>
      </c>
      <c r="S6" s="107"/>
      <c r="T6" s="124"/>
      <c r="U6" s="108"/>
      <c r="V6" s="115"/>
      <c r="W6" s="107"/>
      <c r="X6" s="111" t="s">
        <v>232</v>
      </c>
      <c r="Y6" s="107"/>
      <c r="Z6" s="107"/>
      <c r="AA6" s="116"/>
      <c r="AB6" s="94"/>
      <c r="AC6" s="138"/>
      <c r="AD6" s="125"/>
      <c r="AE6" s="125"/>
      <c r="AF6" s="125"/>
      <c r="AG6" s="125"/>
      <c r="AH6" s="126"/>
      <c r="AJ6" s="355"/>
      <c r="AK6" s="310" t="s">
        <v>174</v>
      </c>
      <c r="AL6" s="311">
        <v>8</v>
      </c>
    </row>
    <row r="7" spans="1:38" ht="28.5" customHeight="1" x14ac:dyDescent="0.75">
      <c r="A7" s="131"/>
      <c r="B7" s="94"/>
      <c r="C7" s="294"/>
      <c r="D7" s="295"/>
      <c r="E7" s="268"/>
      <c r="F7" s="268"/>
      <c r="G7" s="268"/>
      <c r="H7" s="316"/>
      <c r="I7" s="317"/>
      <c r="J7" s="317"/>
      <c r="K7" s="317">
        <v>2.5</v>
      </c>
      <c r="L7" s="317"/>
      <c r="M7" s="317"/>
      <c r="N7" s="318"/>
      <c r="O7" s="94"/>
      <c r="P7" s="110"/>
      <c r="Q7" s="111"/>
      <c r="R7" s="107"/>
      <c r="S7" s="107"/>
      <c r="T7" s="107"/>
      <c r="U7" s="218"/>
      <c r="V7" s="192"/>
      <c r="W7" s="111"/>
      <c r="X7" s="111" t="s">
        <v>259</v>
      </c>
      <c r="Y7" s="107"/>
      <c r="Z7" s="107"/>
      <c r="AA7" s="116"/>
      <c r="AB7" s="94"/>
      <c r="AC7" s="138"/>
      <c r="AD7" s="125"/>
      <c r="AE7" s="125"/>
      <c r="AF7" s="125"/>
      <c r="AG7" s="125"/>
      <c r="AH7" s="126"/>
      <c r="AJ7" s="355"/>
      <c r="AK7" s="310" t="s">
        <v>320</v>
      </c>
      <c r="AL7" s="311">
        <v>2</v>
      </c>
    </row>
    <row r="8" spans="1:38" ht="28.5" customHeight="1" x14ac:dyDescent="0.75">
      <c r="A8" s="131"/>
      <c r="B8" s="94"/>
      <c r="C8" s="278"/>
      <c r="D8" s="260">
        <v>2</v>
      </c>
      <c r="E8" s="260"/>
      <c r="F8" s="191"/>
      <c r="G8" s="356" t="s">
        <v>302</v>
      </c>
      <c r="H8" s="319"/>
      <c r="I8" s="317"/>
      <c r="J8" s="320" t="s">
        <v>321</v>
      </c>
      <c r="K8" s="320"/>
      <c r="L8" s="320"/>
      <c r="M8" s="317"/>
      <c r="N8" s="318"/>
      <c r="O8" s="94"/>
      <c r="P8" s="121"/>
      <c r="Q8" s="122"/>
      <c r="R8" s="264">
        <v>3</v>
      </c>
      <c r="S8" s="122"/>
      <c r="T8" s="122"/>
      <c r="U8" s="219"/>
      <c r="V8" s="115"/>
      <c r="W8" s="107"/>
      <c r="X8" s="107"/>
      <c r="Y8" s="107"/>
      <c r="Z8" s="321"/>
      <c r="AA8" s="286">
        <v>5</v>
      </c>
      <c r="AB8" s="94"/>
      <c r="AC8" s="138"/>
      <c r="AD8" s="150" t="s">
        <v>253</v>
      </c>
      <c r="AE8" s="102"/>
      <c r="AF8" s="143"/>
      <c r="AG8" s="125"/>
      <c r="AH8" s="126"/>
      <c r="AJ8" s="355"/>
      <c r="AK8" s="310" t="s">
        <v>322</v>
      </c>
      <c r="AL8" s="311">
        <v>9</v>
      </c>
    </row>
    <row r="9" spans="1:38" ht="28.5" customHeight="1" x14ac:dyDescent="0.75">
      <c r="A9" s="131"/>
      <c r="B9" s="94"/>
      <c r="C9" s="279" t="s">
        <v>307</v>
      </c>
      <c r="D9" s="185"/>
      <c r="E9" s="111"/>
      <c r="F9" s="108"/>
      <c r="G9" s="357"/>
      <c r="H9" s="358" t="s">
        <v>277</v>
      </c>
      <c r="I9" s="317">
        <v>2</v>
      </c>
      <c r="J9" s="320"/>
      <c r="K9" s="320"/>
      <c r="L9" s="320" t="s">
        <v>323</v>
      </c>
      <c r="M9" s="317"/>
      <c r="N9" s="318"/>
      <c r="O9" s="94"/>
      <c r="P9" s="281"/>
      <c r="Q9" s="189"/>
      <c r="R9" s="189"/>
      <c r="S9" s="198"/>
      <c r="T9" s="189"/>
      <c r="U9" s="191"/>
      <c r="V9" s="115"/>
      <c r="W9" s="107"/>
      <c r="X9" s="107"/>
      <c r="Y9" s="107"/>
      <c r="Z9" s="107"/>
      <c r="AA9" s="116"/>
      <c r="AB9" s="94"/>
      <c r="AC9" s="138"/>
      <c r="AD9" s="125"/>
      <c r="AE9" s="125"/>
      <c r="AF9" s="125"/>
      <c r="AG9" s="125"/>
      <c r="AH9" s="126"/>
      <c r="AJ9" s="355"/>
      <c r="AK9" s="310" t="s">
        <v>232</v>
      </c>
      <c r="AL9" s="311">
        <v>15</v>
      </c>
    </row>
    <row r="10" spans="1:38" ht="28.5" customHeight="1" thickBot="1" x14ac:dyDescent="0.8">
      <c r="A10" s="131"/>
      <c r="B10" s="94"/>
      <c r="C10" s="149">
        <v>3</v>
      </c>
      <c r="D10" s="195"/>
      <c r="E10" s="269"/>
      <c r="F10" s="261"/>
      <c r="G10" s="357"/>
      <c r="H10" s="358"/>
      <c r="I10" s="322"/>
      <c r="J10" s="322"/>
      <c r="K10" s="323"/>
      <c r="L10" s="324"/>
      <c r="M10" s="317"/>
      <c r="N10" s="318"/>
      <c r="O10" s="94"/>
      <c r="P10" s="109"/>
      <c r="Q10" s="111" t="s">
        <v>250</v>
      </c>
      <c r="R10" s="111"/>
      <c r="S10" s="107"/>
      <c r="T10" s="107"/>
      <c r="U10" s="261">
        <v>2</v>
      </c>
      <c r="V10" s="115"/>
      <c r="W10" s="107"/>
      <c r="X10" s="107"/>
      <c r="Y10" s="107"/>
      <c r="Z10" s="107"/>
      <c r="AA10" s="116"/>
      <c r="AB10" s="94"/>
      <c r="AC10" s="138"/>
      <c r="AD10" s="125"/>
      <c r="AE10" s="125"/>
      <c r="AF10" s="125"/>
      <c r="AG10" s="125"/>
      <c r="AH10" s="126"/>
      <c r="AJ10" s="355"/>
      <c r="AK10" s="310" t="s">
        <v>324</v>
      </c>
      <c r="AL10" s="311">
        <v>6</v>
      </c>
    </row>
    <row r="11" spans="1:38" ht="28.5" customHeight="1" x14ac:dyDescent="0.75">
      <c r="A11" s="131"/>
      <c r="B11" s="94"/>
      <c r="C11" s="279"/>
      <c r="D11" s="111"/>
      <c r="E11" s="111"/>
      <c r="F11" s="108"/>
      <c r="G11" s="325"/>
      <c r="H11" s="266"/>
      <c r="I11" s="273"/>
      <c r="J11" s="270" t="s">
        <v>305</v>
      </c>
      <c r="K11" s="274"/>
      <c r="L11" s="275">
        <v>3</v>
      </c>
      <c r="M11" s="270" t="s">
        <v>325</v>
      </c>
      <c r="N11" s="280"/>
      <c r="O11" s="94"/>
      <c r="P11" s="259">
        <v>2</v>
      </c>
      <c r="Q11" s="107"/>
      <c r="R11" s="111" t="s">
        <v>204</v>
      </c>
      <c r="S11" s="107"/>
      <c r="T11" s="124"/>
      <c r="U11" s="108"/>
      <c r="V11" s="115"/>
      <c r="W11" s="107"/>
      <c r="X11" s="111"/>
      <c r="Y11" s="107"/>
      <c r="Z11" s="107"/>
      <c r="AA11" s="116"/>
      <c r="AB11" s="94"/>
      <c r="AC11" s="138"/>
      <c r="AD11" s="125"/>
      <c r="AE11" s="125"/>
      <c r="AF11" s="125"/>
      <c r="AG11" s="125"/>
      <c r="AH11" s="126"/>
      <c r="AJ11" s="355"/>
      <c r="AK11" s="310" t="s">
        <v>326</v>
      </c>
      <c r="AL11" s="311">
        <v>5</v>
      </c>
    </row>
    <row r="12" spans="1:38" ht="28.5" customHeight="1" x14ac:dyDescent="0.75">
      <c r="A12" s="131"/>
      <c r="B12" s="94"/>
      <c r="C12" s="149"/>
      <c r="D12" s="107"/>
      <c r="E12" s="111" t="s">
        <v>204</v>
      </c>
      <c r="F12" s="108"/>
      <c r="G12" s="275">
        <v>1</v>
      </c>
      <c r="H12" s="270"/>
      <c r="I12" s="270"/>
      <c r="J12" s="270"/>
      <c r="K12" s="284" t="s">
        <v>303</v>
      </c>
      <c r="L12" s="271"/>
      <c r="M12" s="270"/>
      <c r="N12" s="283">
        <v>1.72</v>
      </c>
      <c r="O12" s="94"/>
      <c r="P12" s="121"/>
      <c r="Q12" s="122"/>
      <c r="R12" s="122"/>
      <c r="S12" s="122"/>
      <c r="T12" s="122"/>
      <c r="U12" s="241"/>
      <c r="V12" s="326"/>
      <c r="W12" s="122"/>
      <c r="X12" s="327">
        <v>3</v>
      </c>
      <c r="Y12" s="122"/>
      <c r="Z12" s="122"/>
      <c r="AA12" s="262"/>
      <c r="AB12" s="94"/>
      <c r="AC12" s="138"/>
      <c r="AD12" s="125"/>
      <c r="AE12" s="125"/>
      <c r="AF12" s="125"/>
      <c r="AG12" s="125"/>
      <c r="AH12" s="126"/>
      <c r="AJ12" s="355"/>
      <c r="AK12" s="310" t="s">
        <v>327</v>
      </c>
      <c r="AL12" s="311">
        <v>18</v>
      </c>
    </row>
    <row r="13" spans="1:38" ht="28.5" customHeight="1" x14ac:dyDescent="0.75">
      <c r="A13" s="133" t="s">
        <v>252</v>
      </c>
      <c r="B13" s="148">
        <v>3</v>
      </c>
      <c r="C13" s="109"/>
      <c r="D13" s="124"/>
      <c r="E13" s="107"/>
      <c r="F13" s="328"/>
      <c r="G13" s="270"/>
      <c r="H13" s="270" t="s">
        <v>304</v>
      </c>
      <c r="I13" s="270"/>
      <c r="J13" s="270"/>
      <c r="K13" s="285" t="s">
        <v>328</v>
      </c>
      <c r="L13" s="271"/>
      <c r="M13" s="272"/>
      <c r="N13" s="280"/>
      <c r="O13" s="148">
        <v>2.5</v>
      </c>
      <c r="P13" s="281"/>
      <c r="Q13" s="189"/>
      <c r="R13" s="198">
        <v>3</v>
      </c>
      <c r="S13" s="189"/>
      <c r="T13" s="190"/>
      <c r="U13" s="191"/>
      <c r="V13" s="101"/>
      <c r="W13" s="101"/>
      <c r="X13" s="101"/>
      <c r="Y13" s="101"/>
      <c r="Z13" s="184"/>
      <c r="AA13" s="329"/>
      <c r="AB13" s="148">
        <v>3</v>
      </c>
      <c r="AC13" s="138"/>
      <c r="AD13" s="125"/>
      <c r="AE13" s="125"/>
      <c r="AF13" s="125"/>
      <c r="AG13" s="125"/>
      <c r="AH13" s="126"/>
      <c r="AJ13" s="355"/>
      <c r="AK13" s="310" t="s">
        <v>329</v>
      </c>
      <c r="AL13" s="311">
        <v>5</v>
      </c>
    </row>
    <row r="14" spans="1:38" ht="28.5" customHeight="1" thickBot="1" x14ac:dyDescent="0.65">
      <c r="A14" s="131"/>
      <c r="B14" s="94"/>
      <c r="C14" s="281"/>
      <c r="D14" s="189"/>
      <c r="E14" s="189"/>
      <c r="F14" s="190">
        <v>4</v>
      </c>
      <c r="G14" s="189"/>
      <c r="H14" s="189"/>
      <c r="I14" s="189"/>
      <c r="J14" s="191"/>
      <c r="K14" s="270"/>
      <c r="L14" s="276">
        <v>2</v>
      </c>
      <c r="M14" s="273"/>
      <c r="N14" s="280"/>
      <c r="O14" s="94"/>
      <c r="P14" s="109"/>
      <c r="Q14" s="269"/>
      <c r="R14" s="107"/>
      <c r="S14" s="107"/>
      <c r="T14" s="107"/>
      <c r="U14" s="108"/>
      <c r="V14" s="101"/>
      <c r="W14" s="101"/>
      <c r="X14" s="101"/>
      <c r="Y14" s="101"/>
      <c r="Z14" s="101"/>
      <c r="AA14" s="329"/>
      <c r="AB14" s="94"/>
      <c r="AC14" s="138"/>
      <c r="AD14" s="125"/>
      <c r="AE14" s="125"/>
      <c r="AF14" s="125"/>
      <c r="AG14" s="125"/>
      <c r="AH14" s="126"/>
      <c r="AL14" s="330">
        <f>SUM(AL4:AL13)</f>
        <v>96</v>
      </c>
    </row>
    <row r="15" spans="1:38" ht="28.5" customHeight="1" x14ac:dyDescent="0.75">
      <c r="A15" s="131"/>
      <c r="B15" s="94"/>
      <c r="C15" s="109"/>
      <c r="D15" s="107"/>
      <c r="E15" s="107"/>
      <c r="F15" s="107"/>
      <c r="G15" s="107"/>
      <c r="H15" s="107"/>
      <c r="I15" s="107"/>
      <c r="J15" s="108"/>
      <c r="K15" s="263"/>
      <c r="L15" s="331" t="s">
        <v>277</v>
      </c>
      <c r="M15" s="111"/>
      <c r="N15" s="116"/>
      <c r="O15" s="94"/>
      <c r="P15" s="109"/>
      <c r="Q15" s="107"/>
      <c r="R15" s="107"/>
      <c r="S15" s="111"/>
      <c r="T15" s="107"/>
      <c r="U15" s="108"/>
      <c r="V15" s="101"/>
      <c r="W15" s="101"/>
      <c r="X15" s="101"/>
      <c r="Y15" s="101"/>
      <c r="Z15" s="101"/>
      <c r="AA15" s="329"/>
      <c r="AB15" s="94"/>
      <c r="AC15" s="138"/>
      <c r="AD15" s="125"/>
      <c r="AE15" s="125"/>
      <c r="AF15" s="125"/>
      <c r="AG15" s="125"/>
      <c r="AH15" s="126"/>
    </row>
    <row r="16" spans="1:38" ht="28.5" customHeight="1" x14ac:dyDescent="0.75">
      <c r="A16" s="131"/>
      <c r="B16" s="94"/>
      <c r="C16" s="109"/>
      <c r="D16" s="107"/>
      <c r="E16" s="107"/>
      <c r="F16" s="107"/>
      <c r="G16" s="107"/>
      <c r="H16" s="107"/>
      <c r="I16" s="107"/>
      <c r="J16" s="108"/>
      <c r="K16" s="332">
        <v>1</v>
      </c>
      <c r="L16" s="333" t="s">
        <v>278</v>
      </c>
      <c r="M16" s="107"/>
      <c r="N16" s="116"/>
      <c r="O16" s="94"/>
      <c r="P16" s="110"/>
      <c r="Q16" s="107"/>
      <c r="R16" s="111" t="s">
        <v>330</v>
      </c>
      <c r="S16" s="111"/>
      <c r="T16" s="107"/>
      <c r="U16" s="108"/>
      <c r="V16" s="101"/>
      <c r="W16" s="101"/>
      <c r="X16" s="101"/>
      <c r="Y16" s="101"/>
      <c r="Z16" s="101"/>
      <c r="AA16" s="329"/>
      <c r="AB16" s="94"/>
      <c r="AC16" s="138"/>
      <c r="AD16" s="125"/>
      <c r="AE16" s="125"/>
      <c r="AF16" s="125"/>
      <c r="AG16" s="125"/>
      <c r="AH16" s="126"/>
      <c r="AJ16" s="359" t="s">
        <v>240</v>
      </c>
      <c r="AK16" s="310" t="s">
        <v>92</v>
      </c>
      <c r="AL16" s="311">
        <v>8.75</v>
      </c>
    </row>
    <row r="17" spans="1:38" ht="28.5" customHeight="1" x14ac:dyDescent="0.65">
      <c r="A17" s="131"/>
      <c r="B17" s="94"/>
      <c r="C17" s="109"/>
      <c r="D17" s="107"/>
      <c r="E17" s="107"/>
      <c r="F17" s="107"/>
      <c r="G17" s="107"/>
      <c r="H17" s="107"/>
      <c r="I17" s="107"/>
      <c r="J17" s="108"/>
      <c r="K17" s="188"/>
      <c r="L17" s="189"/>
      <c r="M17" s="190">
        <v>2</v>
      </c>
      <c r="N17" s="282"/>
      <c r="O17" s="94"/>
      <c r="P17" s="109"/>
      <c r="Q17" s="107"/>
      <c r="R17" s="185" t="s">
        <v>331</v>
      </c>
      <c r="S17" s="107"/>
      <c r="T17" s="107"/>
      <c r="U17" s="108"/>
      <c r="V17" s="101"/>
      <c r="W17" s="101"/>
      <c r="X17" s="101"/>
      <c r="Y17" s="101"/>
      <c r="Z17" s="101"/>
      <c r="AA17" s="329"/>
      <c r="AB17" s="94"/>
      <c r="AC17" s="138"/>
      <c r="AD17" s="125"/>
      <c r="AE17" s="125"/>
      <c r="AF17" s="125"/>
      <c r="AG17" s="125"/>
      <c r="AH17" s="126"/>
      <c r="AJ17" s="359"/>
      <c r="AK17" s="310" t="s">
        <v>266</v>
      </c>
      <c r="AL17" s="311">
        <v>6.25</v>
      </c>
    </row>
    <row r="18" spans="1:38" ht="28.5" customHeight="1" x14ac:dyDescent="0.75">
      <c r="A18" s="131"/>
      <c r="B18" s="94"/>
      <c r="C18" s="110">
        <v>5.5</v>
      </c>
      <c r="D18" s="107"/>
      <c r="E18" s="107"/>
      <c r="F18" s="265" t="s">
        <v>226</v>
      </c>
      <c r="G18" s="107"/>
      <c r="H18" s="107"/>
      <c r="I18" s="107"/>
      <c r="J18" s="108"/>
      <c r="K18" s="115"/>
      <c r="L18" s="107"/>
      <c r="M18" s="107"/>
      <c r="N18" s="116"/>
      <c r="O18" s="94"/>
      <c r="P18" s="340">
        <v>6</v>
      </c>
      <c r="Q18" s="107"/>
      <c r="R18" s="107"/>
      <c r="S18" s="107"/>
      <c r="T18" s="107"/>
      <c r="U18" s="108"/>
      <c r="V18" s="101"/>
      <c r="W18" s="101"/>
      <c r="X18" s="102"/>
      <c r="Y18" s="101"/>
      <c r="Z18" s="101"/>
      <c r="AA18" s="334"/>
      <c r="AB18" s="94"/>
      <c r="AC18" s="138"/>
      <c r="AD18" s="125"/>
      <c r="AE18" s="125"/>
      <c r="AF18" s="125"/>
      <c r="AG18" s="125"/>
      <c r="AH18" s="126"/>
      <c r="AK18" s="310" t="s">
        <v>329</v>
      </c>
      <c r="AL18" s="311">
        <v>5</v>
      </c>
    </row>
    <row r="19" spans="1:38" ht="28.5" customHeight="1" x14ac:dyDescent="0.75">
      <c r="A19" s="131"/>
      <c r="B19" s="94"/>
      <c r="C19" s="109"/>
      <c r="D19" s="107"/>
      <c r="E19" s="107"/>
      <c r="F19" s="107"/>
      <c r="G19" s="111" t="s">
        <v>247</v>
      </c>
      <c r="H19" s="107"/>
      <c r="I19" s="107"/>
      <c r="J19" s="108"/>
      <c r="K19" s="115"/>
      <c r="L19" s="107"/>
      <c r="M19" s="107"/>
      <c r="N19" s="116"/>
      <c r="O19" s="94"/>
      <c r="P19" s="109"/>
      <c r="Q19" s="107"/>
      <c r="R19" s="107"/>
      <c r="S19" s="107"/>
      <c r="T19" s="107"/>
      <c r="U19" s="108"/>
      <c r="V19" s="101"/>
      <c r="W19" s="101"/>
      <c r="X19" s="184"/>
      <c r="Y19" s="101"/>
      <c r="Z19" s="101"/>
      <c r="AA19" s="329"/>
      <c r="AB19" s="94"/>
      <c r="AC19" s="138"/>
      <c r="AD19" s="125"/>
      <c r="AE19" s="125"/>
      <c r="AF19" s="125"/>
      <c r="AG19" s="125"/>
      <c r="AH19" s="126"/>
      <c r="AL19" s="335">
        <f>SUM(AL16:AL18)</f>
        <v>20</v>
      </c>
    </row>
    <row r="20" spans="1:38" ht="28.5" customHeight="1" x14ac:dyDescent="0.65">
      <c r="A20" s="131"/>
      <c r="B20" s="94"/>
      <c r="C20" s="109"/>
      <c r="D20" s="107"/>
      <c r="E20" s="107"/>
      <c r="F20" s="107"/>
      <c r="G20" s="107"/>
      <c r="H20" s="107"/>
      <c r="I20" s="107"/>
      <c r="J20" s="108"/>
      <c r="K20" s="117">
        <v>4</v>
      </c>
      <c r="L20" s="185" t="s">
        <v>174</v>
      </c>
      <c r="M20" s="107"/>
      <c r="N20" s="116"/>
      <c r="O20" s="94"/>
      <c r="P20" s="109"/>
      <c r="Q20" s="107"/>
      <c r="R20" s="107"/>
      <c r="S20" s="107"/>
      <c r="T20" s="120"/>
      <c r="U20" s="108"/>
      <c r="V20" s="101"/>
      <c r="W20" s="101"/>
      <c r="X20" s="101"/>
      <c r="Y20" s="101"/>
      <c r="Z20" s="101"/>
      <c r="AA20" s="329"/>
      <c r="AB20" s="94"/>
      <c r="AC20" s="138"/>
      <c r="AD20" s="125"/>
      <c r="AE20" s="125"/>
      <c r="AF20" s="125"/>
      <c r="AG20" s="125"/>
      <c r="AH20" s="126"/>
    </row>
    <row r="21" spans="1:38" ht="28.5" customHeight="1" x14ac:dyDescent="0.75">
      <c r="A21" s="131"/>
      <c r="B21" s="94"/>
      <c r="C21" s="109"/>
      <c r="D21" s="107"/>
      <c r="E21" s="107"/>
      <c r="F21" s="107"/>
      <c r="G21" s="107"/>
      <c r="H21" s="107"/>
      <c r="I21" s="107"/>
      <c r="J21" s="108"/>
      <c r="K21" s="115"/>
      <c r="L21" s="107"/>
      <c r="M21" s="111" t="s">
        <v>248</v>
      </c>
      <c r="N21" s="116"/>
      <c r="O21" s="94"/>
      <c r="P21" s="109"/>
      <c r="Q21" s="107"/>
      <c r="R21" s="107"/>
      <c r="S21" s="107"/>
      <c r="T21" s="107"/>
      <c r="U21" s="108"/>
      <c r="V21" s="101"/>
      <c r="W21" s="101"/>
      <c r="X21" s="101"/>
      <c r="Y21" s="101"/>
      <c r="Z21" s="101"/>
      <c r="AA21" s="329"/>
      <c r="AB21" s="94"/>
      <c r="AC21" s="138"/>
      <c r="AD21" s="125"/>
      <c r="AE21" s="125"/>
      <c r="AF21" s="125"/>
      <c r="AG21" s="125"/>
      <c r="AH21" s="126"/>
      <c r="AK21" s="336" t="s">
        <v>332</v>
      </c>
      <c r="AL21" s="337">
        <f>AL14+AL19</f>
        <v>116</v>
      </c>
    </row>
    <row r="22" spans="1:38" ht="28.5" customHeight="1" x14ac:dyDescent="0.35">
      <c r="A22" s="131"/>
      <c r="B22" s="94"/>
      <c r="C22" s="109"/>
      <c r="D22" s="107"/>
      <c r="E22" s="107"/>
      <c r="F22" s="107"/>
      <c r="G22" s="107"/>
      <c r="H22" s="107"/>
      <c r="I22" s="107"/>
      <c r="J22" s="108"/>
      <c r="K22" s="115"/>
      <c r="L22" s="107"/>
      <c r="M22" s="107"/>
      <c r="N22" s="116"/>
      <c r="O22" s="94"/>
      <c r="P22" s="110"/>
      <c r="Q22" s="107"/>
      <c r="R22" s="107"/>
      <c r="S22" s="107"/>
      <c r="T22" s="107"/>
      <c r="U22" s="108"/>
      <c r="V22" s="101"/>
      <c r="W22" s="101"/>
      <c r="X22" s="101"/>
      <c r="Y22" s="101"/>
      <c r="Z22" s="101"/>
      <c r="AA22" s="329"/>
      <c r="AB22" s="94"/>
      <c r="AC22" s="138"/>
      <c r="AD22" s="125"/>
      <c r="AE22" s="125"/>
      <c r="AF22" s="125"/>
      <c r="AG22" s="125"/>
      <c r="AH22" s="126"/>
    </row>
    <row r="23" spans="1:38" ht="28.5" customHeight="1" x14ac:dyDescent="0.35">
      <c r="A23" s="131"/>
      <c r="B23" s="94"/>
      <c r="C23" s="109"/>
      <c r="D23" s="107"/>
      <c r="E23" s="107"/>
      <c r="F23" s="107"/>
      <c r="G23" s="107"/>
      <c r="H23" s="107"/>
      <c r="I23" s="107"/>
      <c r="J23" s="108"/>
      <c r="K23" s="115"/>
      <c r="L23" s="107"/>
      <c r="M23" s="107"/>
      <c r="N23" s="116"/>
      <c r="O23" s="94"/>
      <c r="P23" s="109"/>
      <c r="Q23" s="107"/>
      <c r="R23" s="107"/>
      <c r="S23" s="107"/>
      <c r="T23" s="107"/>
      <c r="U23" s="108"/>
      <c r="V23" s="101"/>
      <c r="W23" s="101"/>
      <c r="X23" s="101"/>
      <c r="Y23" s="101"/>
      <c r="Z23" s="101"/>
      <c r="AA23" s="329"/>
      <c r="AB23" s="94"/>
      <c r="AC23" s="138"/>
      <c r="AD23" s="125"/>
      <c r="AE23" s="125"/>
      <c r="AF23" s="125"/>
      <c r="AG23" s="125"/>
      <c r="AH23" s="126"/>
    </row>
    <row r="24" spans="1:38" ht="28.5" customHeight="1" thickBot="1" x14ac:dyDescent="0.4">
      <c r="A24" s="132"/>
      <c r="B24" s="94"/>
      <c r="C24" s="112"/>
      <c r="D24" s="113"/>
      <c r="E24" s="113"/>
      <c r="F24" s="113"/>
      <c r="G24" s="113"/>
      <c r="H24" s="113"/>
      <c r="I24" s="113"/>
      <c r="J24" s="114"/>
      <c r="K24" s="118"/>
      <c r="L24" s="113"/>
      <c r="M24" s="113"/>
      <c r="N24" s="119"/>
      <c r="O24" s="94"/>
      <c r="P24" s="112"/>
      <c r="Q24" s="113"/>
      <c r="R24" s="113"/>
      <c r="S24" s="113"/>
      <c r="T24" s="113"/>
      <c r="U24" s="114"/>
      <c r="V24" s="338"/>
      <c r="W24" s="338"/>
      <c r="X24" s="338"/>
      <c r="Y24" s="338"/>
      <c r="Z24" s="338"/>
      <c r="AA24" s="339"/>
      <c r="AB24" s="94"/>
      <c r="AC24" s="144"/>
      <c r="AD24" s="145"/>
      <c r="AE24" s="145"/>
      <c r="AF24" s="145"/>
      <c r="AG24" s="145"/>
      <c r="AH24" s="146"/>
    </row>
    <row r="25" spans="1:38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100"/>
      <c r="AC25" s="94"/>
      <c r="AD25" s="94"/>
      <c r="AE25" s="94"/>
      <c r="AF25" s="94"/>
      <c r="AG25" s="94"/>
      <c r="AH25" s="94"/>
    </row>
    <row r="26" spans="1:38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100"/>
      <c r="AC26" s="94"/>
      <c r="AD26" s="94"/>
      <c r="AE26" s="94"/>
      <c r="AF26" s="94"/>
      <c r="AG26" s="94"/>
      <c r="AH26" s="94"/>
    </row>
    <row r="27" spans="1:38" x14ac:dyDescent="0.3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</row>
    <row r="28" spans="1:38" x14ac:dyDescent="0.3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148">
        <v>6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</row>
    <row r="29" spans="1:38" x14ac:dyDescent="0.3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</row>
    <row r="30" spans="1:38" x14ac:dyDescent="0.3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</row>
    <row r="31" spans="1:38" x14ac:dyDescent="0.3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</row>
  </sheetData>
  <mergeCells count="4">
    <mergeCell ref="AJ3:AJ13"/>
    <mergeCell ref="G8:G10"/>
    <mergeCell ref="H9:H10"/>
    <mergeCell ref="AJ16:AJ1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opLeftCell="A10" zoomScale="50" zoomScaleNormal="50" workbookViewId="0">
      <selection activeCell="C22" sqref="C22"/>
    </sheetView>
  </sheetViews>
  <sheetFormatPr baseColWidth="10" defaultRowHeight="14.5" x14ac:dyDescent="0.35"/>
  <cols>
    <col min="2" max="2" width="45.08984375" customWidth="1"/>
    <col min="3" max="3" width="20.54296875" customWidth="1"/>
    <col min="5" max="5" width="26.36328125" customWidth="1"/>
    <col min="6" max="6" width="40.81640625" customWidth="1"/>
    <col min="7" max="7" width="13.1796875" customWidth="1"/>
    <col min="8" max="8" width="17.6328125" customWidth="1"/>
    <col min="9" max="9" width="29.08984375" customWidth="1"/>
    <col min="13" max="13" width="17.453125" customWidth="1"/>
    <col min="14" max="14" width="12.54296875" customWidth="1"/>
  </cols>
  <sheetData>
    <row r="1" spans="2:14" x14ac:dyDescent="0.35">
      <c r="B1" s="30"/>
      <c r="C1" s="360" t="s">
        <v>0</v>
      </c>
      <c r="D1" s="360"/>
      <c r="E1" s="360"/>
      <c r="F1" s="8"/>
      <c r="G1" s="361" t="s">
        <v>1</v>
      </c>
      <c r="H1" s="361"/>
      <c r="I1" s="361"/>
    </row>
    <row r="2" spans="2:14" ht="15.5" x14ac:dyDescent="0.35">
      <c r="B2" s="6"/>
      <c r="C2" s="42" t="s">
        <v>6</v>
      </c>
      <c r="D2" s="42"/>
      <c r="E2" s="6"/>
      <c r="F2" s="6"/>
      <c r="G2" s="42" t="s">
        <v>6</v>
      </c>
      <c r="H2" s="42"/>
      <c r="I2" s="6"/>
      <c r="L2" s="362"/>
      <c r="M2" s="362"/>
      <c r="N2" s="362"/>
    </row>
    <row r="3" spans="2:14" ht="21" x14ac:dyDescent="0.5">
      <c r="B3" s="9" t="s">
        <v>11</v>
      </c>
      <c r="C3" s="42" t="s">
        <v>221</v>
      </c>
      <c r="D3" s="89" t="s">
        <v>220</v>
      </c>
      <c r="E3" s="6"/>
      <c r="F3" s="9" t="s">
        <v>201</v>
      </c>
      <c r="G3" s="42" t="s">
        <v>221</v>
      </c>
      <c r="H3" s="89" t="s">
        <v>220</v>
      </c>
      <c r="I3" s="69"/>
      <c r="K3" s="301"/>
      <c r="L3" s="301" t="s">
        <v>133</v>
      </c>
      <c r="M3" s="301" t="s">
        <v>335</v>
      </c>
      <c r="N3" s="301"/>
    </row>
    <row r="4" spans="2:14" ht="31" x14ac:dyDescent="0.5">
      <c r="B4" s="6" t="s">
        <v>264</v>
      </c>
      <c r="C4" s="78">
        <f>450*L4</f>
        <v>43200</v>
      </c>
      <c r="D4" s="42">
        <f>450*L5</f>
        <v>9000</v>
      </c>
      <c r="E4" s="83" t="s">
        <v>336</v>
      </c>
      <c r="F4" s="12" t="s">
        <v>205</v>
      </c>
      <c r="G4" s="244">
        <f>'Suivi commercialisation '!E4</f>
        <v>19850</v>
      </c>
      <c r="H4" s="90"/>
      <c r="I4" s="50" t="s">
        <v>217</v>
      </c>
      <c r="K4" s="301" t="s">
        <v>239</v>
      </c>
      <c r="L4" s="301">
        <v>96</v>
      </c>
      <c r="M4" s="301">
        <v>8</v>
      </c>
      <c r="N4" s="301"/>
    </row>
    <row r="5" spans="2:14" ht="31" x14ac:dyDescent="0.5">
      <c r="B5" s="6" t="s">
        <v>257</v>
      </c>
      <c r="C5" s="78">
        <f>236*L4</f>
        <v>22656</v>
      </c>
      <c r="D5" s="42">
        <f>236*L5</f>
        <v>4720</v>
      </c>
      <c r="E5" s="83" t="s">
        <v>285</v>
      </c>
      <c r="F5" s="12" t="s">
        <v>206</v>
      </c>
      <c r="G5" s="245">
        <f>'Suivi commercialisation '!E3</f>
        <v>6920</v>
      </c>
      <c r="H5" s="91"/>
      <c r="I5" s="12" t="s">
        <v>217</v>
      </c>
      <c r="K5" s="301" t="s">
        <v>240</v>
      </c>
      <c r="L5" s="301">
        <v>20</v>
      </c>
      <c r="M5" s="301">
        <v>2</v>
      </c>
      <c r="N5" s="301"/>
    </row>
    <row r="6" spans="2:14" ht="15.5" x14ac:dyDescent="0.35">
      <c r="B6" s="6" t="s">
        <v>265</v>
      </c>
      <c r="C6" s="78">
        <f>518</f>
        <v>518</v>
      </c>
      <c r="D6" s="42">
        <v>518</v>
      </c>
      <c r="E6" s="83" t="s">
        <v>349</v>
      </c>
      <c r="F6" s="6" t="s">
        <v>256</v>
      </c>
      <c r="G6" s="243">
        <f>'Suivi commercialisation '!E8</f>
        <v>5080</v>
      </c>
      <c r="H6" s="42"/>
      <c r="I6" s="87" t="s">
        <v>223</v>
      </c>
      <c r="L6">
        <v>116</v>
      </c>
      <c r="M6">
        <v>10</v>
      </c>
    </row>
    <row r="7" spans="2:14" ht="15.5" x14ac:dyDescent="0.35">
      <c r="B7" s="6" t="s">
        <v>141</v>
      </c>
      <c r="C7" s="78">
        <f>913*4</f>
        <v>3652</v>
      </c>
      <c r="D7" s="42">
        <f>913*1</f>
        <v>913</v>
      </c>
      <c r="E7" s="84" t="s">
        <v>347</v>
      </c>
      <c r="F7" s="6" t="s">
        <v>300</v>
      </c>
      <c r="G7" s="243">
        <f>'Suivi commercialisation '!E5</f>
        <v>2150</v>
      </c>
      <c r="H7" s="42"/>
      <c r="I7" s="6" t="s">
        <v>211</v>
      </c>
    </row>
    <row r="8" spans="2:14" ht="15.5" x14ac:dyDescent="0.35">
      <c r="B8" s="6" t="s">
        <v>142</v>
      </c>
      <c r="C8" s="78">
        <f>5*518</f>
        <v>2590</v>
      </c>
      <c r="D8" s="42">
        <f>1*518</f>
        <v>518</v>
      </c>
      <c r="E8" s="85" t="s">
        <v>348</v>
      </c>
      <c r="F8" s="6" t="s">
        <v>254</v>
      </c>
      <c r="G8" s="303">
        <f>'Suivi commercialisation '!E9</f>
        <v>8100</v>
      </c>
      <c r="H8" s="42"/>
      <c r="I8" s="6" t="s">
        <v>211</v>
      </c>
    </row>
    <row r="9" spans="2:14" ht="15.5" x14ac:dyDescent="0.35">
      <c r="B9" s="6"/>
      <c r="C9" s="344"/>
      <c r="D9" s="42"/>
      <c r="E9" s="86"/>
      <c r="F9" s="6" t="s">
        <v>263</v>
      </c>
      <c r="G9" s="243">
        <f>'Suivi commercialisation '!E7</f>
        <v>12500</v>
      </c>
      <c r="H9" s="92"/>
      <c r="I9" s="6" t="s">
        <v>258</v>
      </c>
    </row>
    <row r="10" spans="2:14" ht="15.5" x14ac:dyDescent="0.35">
      <c r="B10" s="6" t="s">
        <v>33</v>
      </c>
      <c r="C10" s="78">
        <f>5*367</f>
        <v>1835</v>
      </c>
      <c r="D10" s="42">
        <f>367*5</f>
        <v>1835</v>
      </c>
      <c r="E10" s="85" t="s">
        <v>350</v>
      </c>
      <c r="F10" s="6" t="s">
        <v>255</v>
      </c>
      <c r="G10" s="243">
        <f>'Suivi commercialisation '!E6</f>
        <v>5080</v>
      </c>
      <c r="H10" s="42"/>
      <c r="I10" s="6" t="s">
        <v>210</v>
      </c>
      <c r="M10" s="341">
        <f>499*0.1</f>
        <v>49.900000000000006</v>
      </c>
    </row>
    <row r="11" spans="2:14" ht="15.5" x14ac:dyDescent="0.35">
      <c r="B11" s="9" t="s">
        <v>8</v>
      </c>
      <c r="C11" s="42"/>
      <c r="D11" s="42"/>
      <c r="E11" s="6"/>
      <c r="F11" s="6" t="s">
        <v>330</v>
      </c>
      <c r="G11" s="243">
        <v>14650</v>
      </c>
      <c r="H11" s="42"/>
      <c r="I11" s="6"/>
    </row>
    <row r="12" spans="2:14" ht="15.5" x14ac:dyDescent="0.35">
      <c r="B12" s="6" t="s">
        <v>195</v>
      </c>
      <c r="C12" s="42">
        <v>100</v>
      </c>
      <c r="D12" s="42">
        <v>100</v>
      </c>
      <c r="E12" s="6" t="s">
        <v>208</v>
      </c>
      <c r="F12" s="6" t="s">
        <v>338</v>
      </c>
      <c r="G12" s="42">
        <v>0</v>
      </c>
      <c r="H12" s="42"/>
      <c r="I12" s="6" t="s">
        <v>339</v>
      </c>
    </row>
    <row r="13" spans="2:14" ht="15.5" x14ac:dyDescent="0.35">
      <c r="B13" s="6" t="s">
        <v>135</v>
      </c>
      <c r="C13" s="42">
        <v>275</v>
      </c>
      <c r="D13" s="42">
        <f>550/2</f>
        <v>275</v>
      </c>
      <c r="E13" s="6" t="s">
        <v>208</v>
      </c>
      <c r="F13" s="6"/>
      <c r="G13" s="42"/>
      <c r="H13" s="42"/>
      <c r="I13" s="6"/>
    </row>
    <row r="14" spans="2:14" ht="15.5" x14ac:dyDescent="0.35">
      <c r="B14" s="6" t="s">
        <v>3</v>
      </c>
      <c r="C14" s="42">
        <v>500</v>
      </c>
      <c r="D14" s="42">
        <v>500</v>
      </c>
      <c r="E14" s="6" t="s">
        <v>208</v>
      </c>
      <c r="F14" s="6" t="s">
        <v>284</v>
      </c>
      <c r="G14" s="42">
        <v>0</v>
      </c>
      <c r="H14" s="42"/>
      <c r="I14" s="6"/>
      <c r="L14">
        <v>735</v>
      </c>
      <c r="M14">
        <f>L14*0.1</f>
        <v>73.5</v>
      </c>
      <c r="N14">
        <f>L14-M14</f>
        <v>661.5</v>
      </c>
    </row>
    <row r="15" spans="2:14" ht="15.5" x14ac:dyDescent="0.35">
      <c r="B15" s="9" t="s">
        <v>9</v>
      </c>
      <c r="C15" s="42"/>
      <c r="D15" s="42"/>
      <c r="E15" s="6"/>
      <c r="F15" s="6"/>
      <c r="G15" s="42"/>
      <c r="H15" s="42"/>
      <c r="I15" s="6"/>
      <c r="L15">
        <f>450+236</f>
        <v>686</v>
      </c>
    </row>
    <row r="16" spans="2:14" ht="29" x14ac:dyDescent="0.35">
      <c r="B16" s="6" t="s">
        <v>7</v>
      </c>
      <c r="C16" s="42">
        <v>450</v>
      </c>
      <c r="D16" s="42">
        <v>450</v>
      </c>
      <c r="E16" s="12" t="s">
        <v>290</v>
      </c>
      <c r="F16" s="82" t="s">
        <v>202</v>
      </c>
      <c r="G16" s="42"/>
      <c r="H16" s="42"/>
      <c r="I16" s="6"/>
    </row>
    <row r="17" spans="2:14" ht="15.5" x14ac:dyDescent="0.35">
      <c r="B17" s="6" t="s">
        <v>196</v>
      </c>
      <c r="C17" s="42">
        <v>2000</v>
      </c>
      <c r="D17" s="42"/>
      <c r="E17" s="6"/>
      <c r="F17" s="6" t="s">
        <v>295</v>
      </c>
      <c r="G17" s="42"/>
      <c r="H17" s="42">
        <f>D4</f>
        <v>9000</v>
      </c>
      <c r="I17" s="6" t="s">
        <v>298</v>
      </c>
    </row>
    <row r="18" spans="2:14" ht="15.5" x14ac:dyDescent="0.35">
      <c r="B18" s="6" t="s">
        <v>187</v>
      </c>
      <c r="C18" s="42">
        <v>1500</v>
      </c>
      <c r="D18" s="42"/>
      <c r="E18" s="6"/>
      <c r="F18" s="6" t="s">
        <v>296</v>
      </c>
      <c r="G18" s="42"/>
      <c r="H18" s="42">
        <f>D5</f>
        <v>4720</v>
      </c>
      <c r="I18" s="6" t="s">
        <v>297</v>
      </c>
      <c r="M18">
        <f>50*114</f>
        <v>5700</v>
      </c>
    </row>
    <row r="19" spans="2:14" ht="15.5" x14ac:dyDescent="0.35">
      <c r="B19" s="6" t="s">
        <v>188</v>
      </c>
      <c r="C19" s="42">
        <v>3000</v>
      </c>
      <c r="D19" s="42"/>
      <c r="E19" s="6" t="s">
        <v>291</v>
      </c>
      <c r="F19" s="6" t="s">
        <v>212</v>
      </c>
      <c r="G19" s="42"/>
      <c r="H19" s="42">
        <f>D6</f>
        <v>518</v>
      </c>
      <c r="I19" s="6" t="s">
        <v>208</v>
      </c>
    </row>
    <row r="20" spans="2:14" ht="15.5" x14ac:dyDescent="0.35">
      <c r="B20" s="9" t="s">
        <v>10</v>
      </c>
      <c r="C20" s="42"/>
      <c r="D20" s="42"/>
      <c r="E20" s="6"/>
      <c r="F20" s="6" t="s">
        <v>213</v>
      </c>
      <c r="G20" s="42"/>
      <c r="H20" s="42">
        <f>D7</f>
        <v>913</v>
      </c>
      <c r="I20" s="6"/>
    </row>
    <row r="21" spans="2:14" ht="15.5" x14ac:dyDescent="0.35">
      <c r="B21" s="16"/>
      <c r="C21" s="42"/>
      <c r="D21" s="42"/>
      <c r="E21" s="12"/>
      <c r="F21" s="6" t="s">
        <v>214</v>
      </c>
      <c r="G21" s="42"/>
      <c r="H21" s="42">
        <f>D8</f>
        <v>518</v>
      </c>
      <c r="I21" s="6" t="s">
        <v>215</v>
      </c>
    </row>
    <row r="22" spans="2:14" ht="43.5" x14ac:dyDescent="0.35">
      <c r="B22" s="6" t="s">
        <v>369</v>
      </c>
      <c r="C22" s="42">
        <f>(3*6*90)+(4*150)+(6*3*40)</f>
        <v>2940</v>
      </c>
      <c r="D22" s="42"/>
      <c r="E22" s="12" t="s">
        <v>52</v>
      </c>
      <c r="F22" s="6" t="s">
        <v>219</v>
      </c>
      <c r="G22" s="42"/>
      <c r="H22" s="42">
        <f>D10</f>
        <v>1835</v>
      </c>
      <c r="I22" s="6" t="s">
        <v>292</v>
      </c>
      <c r="M22" s="345">
        <f>SUM(C4:D10)</f>
        <v>91955</v>
      </c>
      <c r="N22">
        <v>88861.4</v>
      </c>
    </row>
    <row r="23" spans="2:14" s="28" customFormat="1" ht="15.5" x14ac:dyDescent="0.35">
      <c r="B23" s="6" t="s">
        <v>368</v>
      </c>
      <c r="C23" s="42">
        <v>2446</v>
      </c>
      <c r="D23" s="42"/>
      <c r="E23" s="12"/>
      <c r="F23" s="6"/>
      <c r="G23" s="42"/>
      <c r="H23" s="42"/>
      <c r="I23" s="6"/>
      <c r="M23" s="345"/>
    </row>
    <row r="24" spans="2:14" ht="15.5" x14ac:dyDescent="0.35">
      <c r="B24" s="6" t="s">
        <v>4</v>
      </c>
      <c r="C24" s="42">
        <f>RH!F9</f>
        <v>14180</v>
      </c>
      <c r="D24" s="42"/>
      <c r="E24" s="6" t="s">
        <v>216</v>
      </c>
      <c r="F24" s="6" t="s">
        <v>293</v>
      </c>
      <c r="G24" s="42"/>
      <c r="H24" s="42">
        <f>D12+D13+D14</f>
        <v>875</v>
      </c>
      <c r="I24" s="6" t="s">
        <v>218</v>
      </c>
      <c r="N24">
        <f>N22+518</f>
        <v>89379.4</v>
      </c>
    </row>
    <row r="25" spans="2:14" ht="15.5" x14ac:dyDescent="0.35">
      <c r="B25" s="6" t="s">
        <v>5</v>
      </c>
      <c r="C25" s="42">
        <f>RH!G9</f>
        <v>4606</v>
      </c>
      <c r="D25" s="42"/>
      <c r="E25" s="6" t="s">
        <v>54</v>
      </c>
      <c r="F25" s="221" t="s">
        <v>294</v>
      </c>
      <c r="G25" s="42"/>
      <c r="H25" s="42">
        <f>D16</f>
        <v>450</v>
      </c>
      <c r="I25" s="7"/>
      <c r="N25" s="345">
        <f>M22-N24</f>
        <v>2575.6000000000058</v>
      </c>
    </row>
    <row r="26" spans="2:14" ht="15.5" x14ac:dyDescent="0.35">
      <c r="B26" s="6"/>
      <c r="C26" s="42"/>
      <c r="D26" s="42"/>
      <c r="E26" s="6"/>
      <c r="F26" s="10" t="s">
        <v>308</v>
      </c>
      <c r="G26" s="42">
        <f>C28*0.5</f>
        <v>53224</v>
      </c>
      <c r="H26" s="42"/>
      <c r="I26" s="7" t="s">
        <v>222</v>
      </c>
    </row>
    <row r="27" spans="2:14" ht="15.5" x14ac:dyDescent="0.35">
      <c r="B27" s="4"/>
      <c r="C27" s="45"/>
      <c r="D27" s="45"/>
      <c r="E27" s="4"/>
      <c r="F27" s="4"/>
      <c r="G27" s="45"/>
      <c r="H27" s="45"/>
      <c r="I27" s="4"/>
    </row>
    <row r="28" spans="2:14" ht="15.5" x14ac:dyDescent="0.35">
      <c r="B28" s="11" t="s">
        <v>31</v>
      </c>
      <c r="C28" s="47">
        <f>SUM(C3:C27)</f>
        <v>106448</v>
      </c>
      <c r="D28" s="47"/>
      <c r="E28" s="11"/>
      <c r="F28" s="11" t="s">
        <v>31</v>
      </c>
      <c r="G28" s="47">
        <f>SUM(G3:G27)</f>
        <v>127554</v>
      </c>
      <c r="H28" s="47"/>
      <c r="I28" s="11"/>
    </row>
    <row r="29" spans="2:14" ht="15.5" x14ac:dyDescent="0.35">
      <c r="B29" s="28"/>
      <c r="C29" s="46"/>
      <c r="D29" s="46"/>
      <c r="E29" s="28"/>
      <c r="F29" s="28"/>
      <c r="G29" s="46"/>
      <c r="H29" s="46"/>
      <c r="I29" s="28"/>
    </row>
    <row r="30" spans="2:14" ht="15.5" x14ac:dyDescent="0.35">
      <c r="B30" s="28"/>
      <c r="C30" s="46"/>
      <c r="D30" s="46"/>
      <c r="E30" s="28"/>
      <c r="F30" s="28"/>
      <c r="G30" s="46">
        <f>G28-G29</f>
        <v>127554</v>
      </c>
      <c r="H30" s="46"/>
      <c r="I30" s="28"/>
    </row>
    <row r="31" spans="2:14" ht="15.5" x14ac:dyDescent="0.35">
      <c r="B31" s="28"/>
      <c r="C31" s="46"/>
      <c r="D31" s="46"/>
      <c r="E31" s="28"/>
      <c r="F31" s="72" t="s">
        <v>148</v>
      </c>
      <c r="G31" s="73">
        <f>G30-C28</f>
        <v>21106</v>
      </c>
      <c r="H31" s="73"/>
      <c r="I31" s="28"/>
    </row>
  </sheetData>
  <mergeCells count="3">
    <mergeCell ref="C1:E1"/>
    <mergeCell ref="G1:I1"/>
    <mergeCell ref="L2:N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0"/>
  <sheetViews>
    <sheetView tabSelected="1" topLeftCell="J1" zoomScale="80" zoomScaleNormal="80" workbookViewId="0">
      <selection activeCell="Z4" sqref="Z4"/>
    </sheetView>
  </sheetViews>
  <sheetFormatPr baseColWidth="10" defaultColWidth="10.90625" defaultRowHeight="15.5" outlineLevelCol="1" x14ac:dyDescent="0.35"/>
  <cols>
    <col min="1" max="1" width="2.08984375" style="5" customWidth="1"/>
    <col min="2" max="2" width="34.54296875" style="28" customWidth="1"/>
    <col min="3" max="3" width="10.90625" style="46"/>
    <col min="4" max="4" width="12.81640625" style="46" customWidth="1"/>
    <col min="5" max="5" width="37.81640625" style="28" customWidth="1"/>
    <col min="6" max="6" width="26.54296875" style="28" customWidth="1"/>
    <col min="7" max="7" width="12.54296875" style="46" customWidth="1"/>
    <col min="8" max="8" width="15.81640625" style="46" customWidth="1"/>
    <col min="9" max="9" width="28.1796875" style="28" customWidth="1"/>
    <col min="10" max="10" width="4.453125" style="5" customWidth="1"/>
    <col min="11" max="11" width="10.36328125" style="5" customWidth="1"/>
    <col min="12" max="12" width="17.54296875" style="5" customWidth="1"/>
    <col min="13" max="13" width="17" style="95" customWidth="1"/>
    <col min="14" max="14" width="25.36328125" style="5" customWidth="1"/>
    <col min="15" max="15" width="3.1796875" style="5" customWidth="1"/>
    <col min="16" max="16" width="20" style="5" customWidth="1" outlineLevel="1"/>
    <col min="17" max="17" width="13.453125" style="5" customWidth="1" outlineLevel="1"/>
    <col min="18" max="18" width="13.54296875" style="5" customWidth="1" outlineLevel="1"/>
    <col min="19" max="19" width="17.1796875" style="5" customWidth="1" outlineLevel="1"/>
    <col min="20" max="20" width="6.1796875" style="5" customWidth="1" outlineLevel="1"/>
    <col min="21" max="21" width="6.81640625" style="5" customWidth="1" outlineLevel="1"/>
    <col min="22" max="22" width="12.08984375" style="5" customWidth="1" outlineLevel="1"/>
    <col min="23" max="23" width="10.90625" style="5" customWidth="1" outlineLevel="1"/>
    <col min="24" max="24" width="13.36328125" style="5" customWidth="1" outlineLevel="1"/>
    <col min="25" max="25" width="15.6328125" style="5" customWidth="1" outlineLevel="1"/>
    <col min="26" max="26" width="10.90625" style="5" customWidth="1" outlineLevel="1"/>
    <col min="27" max="53" width="10.90625" style="5"/>
    <col min="54" max="16384" width="10.90625" style="28"/>
  </cols>
  <sheetData>
    <row r="1" spans="1:53" ht="24" customHeight="1" x14ac:dyDescent="0.35">
      <c r="B1" s="30" t="s">
        <v>281</v>
      </c>
      <c r="C1" s="360" t="s">
        <v>0</v>
      </c>
      <c r="D1" s="360"/>
      <c r="E1" s="360"/>
      <c r="F1" s="8"/>
      <c r="G1" s="361" t="s">
        <v>1</v>
      </c>
      <c r="H1" s="361"/>
      <c r="I1" s="361"/>
      <c r="L1" s="5">
        <f>121-30</f>
        <v>91</v>
      </c>
      <c r="Q1" s="363" t="s">
        <v>56</v>
      </c>
      <c r="R1" s="363"/>
      <c r="T1" s="364" t="s">
        <v>130</v>
      </c>
      <c r="U1" s="364"/>
      <c r="V1" s="42">
        <f>499+236</f>
        <v>735</v>
      </c>
      <c r="W1" s="5" t="s">
        <v>274</v>
      </c>
      <c r="X1" s="5">
        <f>350+236</f>
        <v>586</v>
      </c>
    </row>
    <row r="2" spans="1:53" ht="16.5" customHeight="1" x14ac:dyDescent="0.35">
      <c r="B2" s="6"/>
      <c r="C2" s="42" t="s">
        <v>6</v>
      </c>
      <c r="D2" s="42"/>
      <c r="E2" s="6"/>
      <c r="F2" s="6"/>
      <c r="G2" s="42" t="s">
        <v>6</v>
      </c>
      <c r="H2" s="42"/>
      <c r="I2" s="6"/>
      <c r="J2" s="17">
        <f>C4+C5</f>
        <v>53508</v>
      </c>
      <c r="K2" s="17"/>
      <c r="L2" s="17"/>
      <c r="M2" s="96"/>
      <c r="N2" s="17"/>
      <c r="P2" s="17"/>
      <c r="Q2" s="33">
        <v>66</v>
      </c>
      <c r="R2" s="34">
        <f>C27-17157</f>
        <v>73691.5</v>
      </c>
      <c r="V2" s="17">
        <f>V1*8</f>
        <v>5880</v>
      </c>
    </row>
    <row r="3" spans="1:53" ht="16.5" customHeight="1" x14ac:dyDescent="0.35">
      <c r="B3" s="9" t="s">
        <v>11</v>
      </c>
      <c r="C3" s="42" t="s">
        <v>221</v>
      </c>
      <c r="D3" s="89" t="s">
        <v>220</v>
      </c>
      <c r="E3" s="6"/>
      <c r="F3" s="9" t="s">
        <v>201</v>
      </c>
      <c r="G3" s="42" t="s">
        <v>221</v>
      </c>
      <c r="H3" s="89" t="s">
        <v>220</v>
      </c>
      <c r="I3" s="69"/>
      <c r="J3" s="17">
        <f>J2/66</f>
        <v>810.72727272727275</v>
      </c>
      <c r="K3" s="139"/>
      <c r="L3" s="99" t="s">
        <v>224</v>
      </c>
      <c r="M3" s="99" t="s">
        <v>133</v>
      </c>
      <c r="N3" s="99" t="s">
        <v>225</v>
      </c>
      <c r="V3" s="53"/>
      <c r="W3" s="54"/>
      <c r="X3" s="55"/>
    </row>
    <row r="4" spans="1:53" s="1" customFormat="1" ht="28" customHeight="1" x14ac:dyDescent="0.35">
      <c r="A4" s="5"/>
      <c r="B4" s="6" t="s">
        <v>264</v>
      </c>
      <c r="C4" s="78">
        <f>M15*450</f>
        <v>35100</v>
      </c>
      <c r="D4" s="42">
        <f>M21*450</f>
        <v>8100</v>
      </c>
      <c r="E4" s="83" t="s">
        <v>203</v>
      </c>
      <c r="F4" s="12" t="s">
        <v>205</v>
      </c>
      <c r="G4" s="244">
        <v>19850</v>
      </c>
      <c r="H4" s="90"/>
      <c r="I4" s="50" t="s">
        <v>217</v>
      </c>
      <c r="J4" s="5"/>
      <c r="K4" s="366" t="s">
        <v>239</v>
      </c>
      <c r="L4" s="6" t="s">
        <v>228</v>
      </c>
      <c r="M4" s="8">
        <v>22</v>
      </c>
      <c r="N4" s="6" t="s">
        <v>230</v>
      </c>
      <c r="O4" s="5"/>
      <c r="P4" s="5"/>
      <c r="Q4" s="5"/>
      <c r="R4" s="5"/>
      <c r="S4" s="5"/>
      <c r="T4" s="5"/>
      <c r="U4" s="5" t="s">
        <v>207</v>
      </c>
      <c r="V4" s="53">
        <f>499</f>
        <v>499</v>
      </c>
      <c r="W4" s="54"/>
      <c r="X4" s="5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" customFormat="1" ht="28" customHeight="1" x14ac:dyDescent="0.35">
      <c r="A5" s="5"/>
      <c r="B5" s="6" t="s">
        <v>257</v>
      </c>
      <c r="C5" s="78">
        <f>M15*236</f>
        <v>18408</v>
      </c>
      <c r="D5" s="42">
        <f>M21*236</f>
        <v>4248</v>
      </c>
      <c r="E5" s="83" t="s">
        <v>285</v>
      </c>
      <c r="F5" s="12" t="s">
        <v>206</v>
      </c>
      <c r="G5" s="245">
        <v>6920</v>
      </c>
      <c r="H5" s="91"/>
      <c r="I5" s="12" t="s">
        <v>217</v>
      </c>
      <c r="J5" s="5"/>
      <c r="K5" s="367"/>
      <c r="L5" s="6" t="s">
        <v>229</v>
      </c>
      <c r="M5" s="8">
        <v>8</v>
      </c>
      <c r="N5" s="6" t="s">
        <v>230</v>
      </c>
      <c r="O5" s="5"/>
      <c r="P5" s="5"/>
      <c r="Q5" s="5"/>
      <c r="R5" s="5"/>
      <c r="S5" s="5"/>
      <c r="T5" s="5"/>
      <c r="U5" s="5"/>
      <c r="V5" s="56"/>
      <c r="W5" s="57"/>
      <c r="X5" s="5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s="1" customFormat="1" ht="28" customHeight="1" x14ac:dyDescent="0.35">
      <c r="A6" s="5"/>
      <c r="B6" s="6" t="s">
        <v>265</v>
      </c>
      <c r="C6" s="78">
        <f>913/2</f>
        <v>456.5</v>
      </c>
      <c r="D6" s="42">
        <f>913/2</f>
        <v>456.5</v>
      </c>
      <c r="E6" s="83" t="s">
        <v>262</v>
      </c>
      <c r="F6" s="6" t="s">
        <v>256</v>
      </c>
      <c r="G6" s="243">
        <v>5080</v>
      </c>
      <c r="H6" s="42"/>
      <c r="I6" s="87" t="s">
        <v>223</v>
      </c>
      <c r="J6" s="5"/>
      <c r="K6" s="367"/>
      <c r="L6" s="59" t="s">
        <v>227</v>
      </c>
      <c r="M6" s="127">
        <v>6</v>
      </c>
      <c r="N6" s="6" t="s">
        <v>230</v>
      </c>
      <c r="O6" s="5"/>
      <c r="P6" s="5"/>
      <c r="Q6" s="5"/>
      <c r="R6" s="5"/>
      <c r="S6" s="5"/>
      <c r="T6" s="5"/>
      <c r="U6" s="5"/>
      <c r="V6" s="56"/>
      <c r="W6" s="57"/>
      <c r="X6" s="55"/>
      <c r="Y6" s="5">
        <f>(350*15)+(236*15)+370+913</f>
        <v>10073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s="1" customFormat="1" ht="28" customHeight="1" x14ac:dyDescent="0.35">
      <c r="A7" s="5"/>
      <c r="B7" s="6" t="s">
        <v>141</v>
      </c>
      <c r="C7" s="78">
        <f>3*913</f>
        <v>2739</v>
      </c>
      <c r="D7" s="42">
        <v>0</v>
      </c>
      <c r="E7" s="84" t="s">
        <v>286</v>
      </c>
      <c r="F7" s="6" t="s">
        <v>300</v>
      </c>
      <c r="G7" s="243">
        <v>2150</v>
      </c>
      <c r="H7" s="42"/>
      <c r="I7" s="6" t="s">
        <v>211</v>
      </c>
      <c r="J7" s="17"/>
      <c r="K7" s="367"/>
      <c r="L7" s="6" t="s">
        <v>233</v>
      </c>
      <c r="M7" s="8">
        <v>9</v>
      </c>
      <c r="N7" s="6" t="s">
        <v>261</v>
      </c>
      <c r="O7" s="5"/>
      <c r="P7" s="5"/>
      <c r="Q7" s="30" t="s">
        <v>133</v>
      </c>
      <c r="R7" s="30" t="s">
        <v>131</v>
      </c>
      <c r="S7" s="30" t="s">
        <v>132</v>
      </c>
      <c r="T7" s="30">
        <v>2016</v>
      </c>
      <c r="U7" s="41"/>
      <c r="V7" s="52" t="s">
        <v>152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s="1" customFormat="1" ht="29.15" customHeight="1" x14ac:dyDescent="0.35">
      <c r="A8" s="5"/>
      <c r="B8" s="6" t="s">
        <v>142</v>
      </c>
      <c r="C8" s="78">
        <f>7*518</f>
        <v>3626</v>
      </c>
      <c r="D8" s="42">
        <f>2*518</f>
        <v>1036</v>
      </c>
      <c r="E8" s="85" t="s">
        <v>287</v>
      </c>
      <c r="F8" s="6" t="s">
        <v>282</v>
      </c>
      <c r="G8" s="42"/>
      <c r="H8" s="42"/>
      <c r="I8" s="6" t="s">
        <v>211</v>
      </c>
      <c r="J8" s="5"/>
      <c r="K8" s="367"/>
      <c r="L8" s="6" t="s">
        <v>232</v>
      </c>
      <c r="M8" s="8">
        <v>15</v>
      </c>
      <c r="N8" s="6" t="s">
        <v>243</v>
      </c>
      <c r="O8" s="365" t="s">
        <v>140</v>
      </c>
      <c r="P8" s="37" t="s">
        <v>151</v>
      </c>
      <c r="Q8" s="38">
        <v>21</v>
      </c>
      <c r="R8" s="39">
        <f>Q8*V$1+370+913</f>
        <v>16718</v>
      </c>
      <c r="S8" s="43">
        <v>16900</v>
      </c>
      <c r="T8" s="5"/>
      <c r="U8" s="40"/>
      <c r="V8" s="51">
        <f>S8-R8</f>
        <v>182</v>
      </c>
      <c r="W8" s="5"/>
      <c r="X8" s="5">
        <v>2397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s="1" customFormat="1" ht="16.5" customHeight="1" x14ac:dyDescent="0.35">
      <c r="A9" s="5"/>
      <c r="B9" s="6" t="s">
        <v>184</v>
      </c>
      <c r="C9" s="78"/>
      <c r="D9" s="42"/>
      <c r="E9" s="86" t="s">
        <v>288</v>
      </c>
      <c r="F9" s="6" t="s">
        <v>254</v>
      </c>
      <c r="G9" s="246">
        <v>8100</v>
      </c>
      <c r="H9" s="92"/>
      <c r="I9" s="6" t="s">
        <v>258</v>
      </c>
      <c r="J9" s="93"/>
      <c r="K9" s="367"/>
      <c r="L9" s="6" t="s">
        <v>235</v>
      </c>
      <c r="M9" s="8">
        <v>6</v>
      </c>
      <c r="N9" s="6" t="s">
        <v>244</v>
      </c>
      <c r="O9" s="365"/>
      <c r="P9" s="37" t="s">
        <v>173</v>
      </c>
      <c r="Q9" s="38">
        <v>30</v>
      </c>
      <c r="R9" s="39">
        <f>(499*30)+370+370+913</f>
        <v>16623</v>
      </c>
      <c r="S9" s="43">
        <v>16800</v>
      </c>
      <c r="T9" s="5"/>
      <c r="U9" s="40"/>
      <c r="V9" s="51">
        <f>S9-R9</f>
        <v>177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s="1" customFormat="1" ht="16.5" customHeight="1" x14ac:dyDescent="0.35">
      <c r="A10" s="5"/>
      <c r="B10" s="6" t="s">
        <v>33</v>
      </c>
      <c r="C10" s="78">
        <f>4*367</f>
        <v>1468</v>
      </c>
      <c r="D10" s="42">
        <f>2*367</f>
        <v>734</v>
      </c>
      <c r="E10" s="85" t="s">
        <v>289</v>
      </c>
      <c r="F10" s="6" t="s">
        <v>263</v>
      </c>
      <c r="G10" s="247">
        <v>12400</v>
      </c>
      <c r="H10" s="42"/>
      <c r="I10" s="6" t="s">
        <v>210</v>
      </c>
      <c r="J10" s="5"/>
      <c r="K10" s="367"/>
      <c r="L10" s="4" t="s">
        <v>271</v>
      </c>
      <c r="M10" s="187">
        <v>2</v>
      </c>
      <c r="N10" s="4"/>
      <c r="O10" s="365"/>
      <c r="P10" s="37" t="s">
        <v>137</v>
      </c>
      <c r="Q10" s="38">
        <v>6</v>
      </c>
      <c r="R10" s="39">
        <f>Q10*V$1+370+518</f>
        <v>5298</v>
      </c>
      <c r="S10" s="43">
        <v>5450</v>
      </c>
      <c r="T10" s="40"/>
      <c r="U10" s="40"/>
      <c r="V10" s="51">
        <f t="shared" ref="V10:V14" si="0">S10-R10</f>
        <v>152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1" customFormat="1" ht="18" customHeight="1" x14ac:dyDescent="0.35">
      <c r="A11" s="5"/>
      <c r="B11" s="9" t="s">
        <v>8</v>
      </c>
      <c r="C11" s="42"/>
      <c r="D11" s="42"/>
      <c r="E11" s="6"/>
      <c r="F11" s="6" t="s">
        <v>255</v>
      </c>
      <c r="G11" s="167">
        <v>5080</v>
      </c>
      <c r="H11" s="42"/>
      <c r="I11" s="6" t="s">
        <v>210</v>
      </c>
      <c r="J11" s="5"/>
      <c r="K11" s="367"/>
      <c r="L11" s="4" t="s">
        <v>271</v>
      </c>
      <c r="M11" s="187">
        <v>2</v>
      </c>
      <c r="N11" s="4"/>
      <c r="O11" s="365"/>
      <c r="P11" s="37" t="s">
        <v>138</v>
      </c>
      <c r="Q11" s="38">
        <v>8</v>
      </c>
      <c r="R11" s="39">
        <f>Q11*V$1+518</f>
        <v>6398</v>
      </c>
      <c r="S11" s="43">
        <v>6550</v>
      </c>
      <c r="T11" s="40"/>
      <c r="U11" s="40"/>
      <c r="V11" s="51">
        <f t="shared" si="0"/>
        <v>152</v>
      </c>
      <c r="W11" s="5">
        <f>6920-6850</f>
        <v>70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s="1" customFormat="1" ht="16.5" customHeight="1" x14ac:dyDescent="0.35">
      <c r="A12" s="5"/>
      <c r="B12" s="6" t="s">
        <v>195</v>
      </c>
      <c r="C12" s="42">
        <v>100</v>
      </c>
      <c r="D12" s="42">
        <v>100</v>
      </c>
      <c r="E12" s="6" t="s">
        <v>208</v>
      </c>
      <c r="F12" s="6" t="s">
        <v>282</v>
      </c>
      <c r="G12" s="88">
        <v>2150</v>
      </c>
      <c r="H12" s="42"/>
      <c r="I12" s="6" t="s">
        <v>210</v>
      </c>
      <c r="J12" s="5"/>
      <c r="K12" s="367"/>
      <c r="L12" s="6" t="s">
        <v>236</v>
      </c>
      <c r="M12" s="8">
        <v>2</v>
      </c>
      <c r="N12" s="6" t="s">
        <v>243</v>
      </c>
      <c r="O12" s="365"/>
      <c r="P12" s="37" t="s">
        <v>122</v>
      </c>
      <c r="Q12" s="38">
        <v>6</v>
      </c>
      <c r="R12" s="39">
        <f>Q12*V$1+518</f>
        <v>4928</v>
      </c>
      <c r="S12" s="43">
        <v>5080</v>
      </c>
      <c r="T12" s="40">
        <v>4680</v>
      </c>
      <c r="U12" s="40"/>
      <c r="V12" s="51">
        <f t="shared" si="0"/>
        <v>152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s="1" customFormat="1" ht="16.5" customHeight="1" x14ac:dyDescent="0.35">
      <c r="A13" s="5"/>
      <c r="B13" s="6" t="s">
        <v>135</v>
      </c>
      <c r="C13" s="42">
        <v>275</v>
      </c>
      <c r="D13" s="42">
        <f>550/2</f>
        <v>275</v>
      </c>
      <c r="E13" s="6" t="s">
        <v>208</v>
      </c>
      <c r="F13" s="6" t="s">
        <v>283</v>
      </c>
      <c r="G13" s="88">
        <v>2150</v>
      </c>
      <c r="H13" s="42"/>
      <c r="I13" s="6"/>
      <c r="J13" s="5"/>
      <c r="K13" s="367"/>
      <c r="L13" s="6" t="s">
        <v>237</v>
      </c>
      <c r="M13" s="8">
        <v>2</v>
      </c>
      <c r="N13" s="6" t="s">
        <v>245</v>
      </c>
      <c r="O13" s="365"/>
      <c r="P13" s="37"/>
      <c r="Q13" s="38">
        <v>15</v>
      </c>
      <c r="R13" s="39">
        <f>(499*15)+(236*15)+913+370</f>
        <v>12308</v>
      </c>
      <c r="S13" s="43">
        <v>12450</v>
      </c>
      <c r="T13" s="40"/>
      <c r="U13" s="40"/>
      <c r="V13" s="51">
        <f t="shared" si="0"/>
        <v>142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s="1" customFormat="1" ht="16.5" customHeight="1" x14ac:dyDescent="0.35">
      <c r="A14" s="5"/>
      <c r="B14" s="6" t="s">
        <v>3</v>
      </c>
      <c r="C14" s="42">
        <v>500</v>
      </c>
      <c r="D14" s="42">
        <v>500</v>
      </c>
      <c r="E14" s="6" t="s">
        <v>208</v>
      </c>
      <c r="F14" s="6" t="s">
        <v>284</v>
      </c>
      <c r="G14" s="42">
        <v>0</v>
      </c>
      <c r="H14" s="42"/>
      <c r="I14" s="6"/>
      <c r="J14" s="5"/>
      <c r="K14" s="367"/>
      <c r="L14" s="6" t="s">
        <v>238</v>
      </c>
      <c r="M14" s="8">
        <v>4</v>
      </c>
      <c r="N14" s="6" t="s">
        <v>246</v>
      </c>
      <c r="O14" s="5"/>
      <c r="P14" s="37"/>
      <c r="Q14" s="38">
        <v>9</v>
      </c>
      <c r="R14" s="39">
        <f>Q14*V$1+913+370</f>
        <v>7898</v>
      </c>
      <c r="S14" s="43">
        <v>8100</v>
      </c>
      <c r="T14" s="40"/>
      <c r="U14" s="40"/>
      <c r="V14" s="51">
        <f t="shared" si="0"/>
        <v>202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s="1" customFormat="1" ht="16.5" customHeight="1" x14ac:dyDescent="0.35">
      <c r="A15" s="5"/>
      <c r="B15" s="9" t="s">
        <v>9</v>
      </c>
      <c r="C15" s="42"/>
      <c r="D15" s="42"/>
      <c r="E15" s="6"/>
      <c r="F15" s="6"/>
      <c r="G15" s="42"/>
      <c r="H15" s="42"/>
      <c r="I15" s="6"/>
      <c r="J15" s="5"/>
      <c r="K15" s="28"/>
      <c r="L15" s="97" t="s">
        <v>242</v>
      </c>
      <c r="M15" s="98">
        <f>SUM(M4:M14)</f>
        <v>78</v>
      </c>
      <c r="N15" s="5"/>
      <c r="O15" s="365" t="s">
        <v>139</v>
      </c>
      <c r="P15" s="37" t="s">
        <v>123</v>
      </c>
      <c r="Q15" s="38">
        <v>3</v>
      </c>
      <c r="R15" s="39">
        <f>Q15*V$1+518</f>
        <v>2723</v>
      </c>
      <c r="S15" s="43">
        <v>2990</v>
      </c>
      <c r="T15" s="40"/>
      <c r="U15" s="40"/>
      <c r="V15" s="51">
        <f>S15-R15</f>
        <v>267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s="2" customFormat="1" ht="25.5" customHeight="1" x14ac:dyDescent="0.35">
      <c r="A16" s="5"/>
      <c r="B16" s="6" t="s">
        <v>7</v>
      </c>
      <c r="C16" s="42">
        <v>450</v>
      </c>
      <c r="D16" s="42">
        <v>450</v>
      </c>
      <c r="E16" s="12" t="s">
        <v>290</v>
      </c>
      <c r="F16" s="82" t="s">
        <v>202</v>
      </c>
      <c r="G16" s="42"/>
      <c r="H16" s="42"/>
      <c r="I16" s="6"/>
      <c r="J16" s="5"/>
      <c r="K16" s="186"/>
      <c r="L16" s="5"/>
      <c r="M16" s="95"/>
      <c r="N16" s="5"/>
      <c r="O16" s="365"/>
      <c r="P16" s="37" t="s">
        <v>124</v>
      </c>
      <c r="Q16" s="38">
        <v>3</v>
      </c>
      <c r="R16" s="39">
        <f>Q16*V$1+518</f>
        <v>2723</v>
      </c>
      <c r="S16" s="43">
        <v>2990</v>
      </c>
      <c r="T16" s="5"/>
      <c r="U16" s="40"/>
      <c r="V16" s="51">
        <f t="shared" ref="V16:V20" si="1">S16-R16</f>
        <v>267</v>
      </c>
      <c r="W16" s="5"/>
      <c r="X16" s="17">
        <f>S15*2</f>
        <v>5980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s="2" customFormat="1" ht="16.5" customHeight="1" x14ac:dyDescent="0.35">
      <c r="A17" s="5"/>
      <c r="B17" s="6" t="s">
        <v>196</v>
      </c>
      <c r="C17" s="42">
        <v>2000</v>
      </c>
      <c r="D17" s="42"/>
      <c r="E17" s="6"/>
      <c r="F17" s="6" t="s">
        <v>295</v>
      </c>
      <c r="G17" s="42"/>
      <c r="H17" s="42">
        <f>D4</f>
        <v>8100</v>
      </c>
      <c r="I17" s="6" t="s">
        <v>298</v>
      </c>
      <c r="J17" s="5"/>
      <c r="K17" s="366" t="s">
        <v>240</v>
      </c>
      <c r="L17" s="6" t="s">
        <v>268</v>
      </c>
      <c r="M17" s="8" t="s">
        <v>272</v>
      </c>
      <c r="N17" s="6" t="s">
        <v>234</v>
      </c>
      <c r="O17" s="365"/>
      <c r="P17" s="2" t="s">
        <v>159</v>
      </c>
      <c r="Q17" s="67">
        <v>6</v>
      </c>
      <c r="T17" s="40"/>
      <c r="U17" s="40"/>
      <c r="V17" s="5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s="2" customFormat="1" ht="16.5" customHeight="1" x14ac:dyDescent="0.35">
      <c r="A18" s="5"/>
      <c r="B18" s="6" t="s">
        <v>187</v>
      </c>
      <c r="C18" s="42">
        <v>1500</v>
      </c>
      <c r="D18" s="42"/>
      <c r="E18" s="6"/>
      <c r="F18" s="6" t="s">
        <v>296</v>
      </c>
      <c r="G18" s="42"/>
      <c r="H18" s="42">
        <f>D5</f>
        <v>4248</v>
      </c>
      <c r="I18" s="6" t="s">
        <v>297</v>
      </c>
      <c r="J18" s="5"/>
      <c r="K18" s="367"/>
      <c r="L18" s="6" t="s">
        <v>270</v>
      </c>
      <c r="M18" s="8">
        <v>6</v>
      </c>
      <c r="N18" s="6" t="s">
        <v>217</v>
      </c>
      <c r="O18" s="365"/>
      <c r="P18" s="37" t="s">
        <v>125</v>
      </c>
      <c r="Q18" s="38">
        <v>2</v>
      </c>
      <c r="R18" s="39">
        <f>Q18*V$1+518</f>
        <v>1988</v>
      </c>
      <c r="S18" s="43">
        <v>2150</v>
      </c>
      <c r="T18" s="40">
        <v>2870</v>
      </c>
      <c r="U18" s="40"/>
      <c r="V18" s="51">
        <f t="shared" si="1"/>
        <v>162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s="2" customFormat="1" ht="21" customHeight="1" x14ac:dyDescent="0.35">
      <c r="A19" s="5"/>
      <c r="B19" s="6" t="s">
        <v>188</v>
      </c>
      <c r="C19" s="42">
        <v>2500</v>
      </c>
      <c r="D19" s="42"/>
      <c r="E19" s="6" t="s">
        <v>291</v>
      </c>
      <c r="F19" s="6" t="s">
        <v>212</v>
      </c>
      <c r="G19" s="42"/>
      <c r="H19" s="42">
        <f>D6</f>
        <v>456.5</v>
      </c>
      <c r="I19" s="6" t="s">
        <v>208</v>
      </c>
      <c r="J19" s="5"/>
      <c r="K19" s="367"/>
      <c r="L19" s="6" t="s">
        <v>267</v>
      </c>
      <c r="M19" s="8">
        <v>8</v>
      </c>
      <c r="N19" s="6"/>
      <c r="O19" s="365"/>
      <c r="P19" s="37" t="s">
        <v>126</v>
      </c>
      <c r="Q19" s="38">
        <v>2</v>
      </c>
      <c r="R19" s="39">
        <f t="shared" ref="R19" si="2">Q19*V$1+518</f>
        <v>1988</v>
      </c>
      <c r="S19" s="43">
        <v>2150</v>
      </c>
      <c r="T19" s="40"/>
      <c r="U19" s="40"/>
      <c r="V19" s="51">
        <f t="shared" si="1"/>
        <v>162</v>
      </c>
      <c r="W19" s="5"/>
      <c r="X19" s="6" t="s">
        <v>275</v>
      </c>
      <c r="Y19" s="6" t="s">
        <v>276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s="3" customFormat="1" ht="42.65" customHeight="1" x14ac:dyDescent="0.35">
      <c r="A20" s="5"/>
      <c r="B20" s="9" t="s">
        <v>10</v>
      </c>
      <c r="C20" s="42"/>
      <c r="D20" s="42"/>
      <c r="E20" s="6"/>
      <c r="F20" s="6" t="s">
        <v>213</v>
      </c>
      <c r="G20" s="42"/>
      <c r="H20" s="42">
        <f>D7</f>
        <v>0</v>
      </c>
      <c r="I20" s="6"/>
      <c r="J20" s="5"/>
      <c r="K20" s="367"/>
      <c r="L20" s="6" t="s">
        <v>238</v>
      </c>
      <c r="M20" s="8">
        <v>4</v>
      </c>
      <c r="N20" s="6" t="s">
        <v>246</v>
      </c>
      <c r="O20" s="365"/>
      <c r="P20" s="37" t="s">
        <v>127</v>
      </c>
      <c r="Q20" s="38">
        <v>2</v>
      </c>
      <c r="R20" s="39">
        <f>Q20*V$1+875</f>
        <v>2345</v>
      </c>
      <c r="S20" s="43">
        <v>2150</v>
      </c>
      <c r="T20" s="40"/>
      <c r="U20" s="40"/>
      <c r="V20" s="51">
        <f t="shared" si="1"/>
        <v>-195</v>
      </c>
      <c r="W20" s="5"/>
      <c r="X20" s="6">
        <f>(2*X1)+518</f>
        <v>1690</v>
      </c>
      <c r="Y20" s="6">
        <v>2150</v>
      </c>
      <c r="Z20" s="5">
        <f>Y20-X20</f>
        <v>460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3" customFormat="1" ht="16.5" customHeight="1" x14ac:dyDescent="0.35">
      <c r="A21" s="5"/>
      <c r="B21" s="16"/>
      <c r="C21" s="42"/>
      <c r="D21" s="42"/>
      <c r="E21" s="12"/>
      <c r="F21" s="6" t="s">
        <v>214</v>
      </c>
      <c r="G21" s="42"/>
      <c r="H21" s="42">
        <f>D8</f>
        <v>1036</v>
      </c>
      <c r="I21" s="6" t="s">
        <v>215</v>
      </c>
      <c r="J21" s="5"/>
      <c r="K21" s="28"/>
      <c r="L21" s="97" t="s">
        <v>241</v>
      </c>
      <c r="M21" s="98">
        <f>SUM(M18:M20)</f>
        <v>18</v>
      </c>
      <c r="N21" s="5"/>
      <c r="O21" s="5"/>
      <c r="P21" s="37" t="s">
        <v>128</v>
      </c>
      <c r="Q21" s="38">
        <v>18</v>
      </c>
      <c r="R21" s="39">
        <f>Q21*V$1+913+367</f>
        <v>14510</v>
      </c>
      <c r="S21" s="43">
        <v>14650</v>
      </c>
      <c r="T21" s="40"/>
      <c r="U21" s="40"/>
      <c r="V21" s="51">
        <f t="shared" ref="V21" si="3">S21-R21</f>
        <v>140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s="3" customFormat="1" ht="16.5" customHeight="1" x14ac:dyDescent="0.45">
      <c r="A22" s="5"/>
      <c r="B22" s="6" t="s">
        <v>53</v>
      </c>
      <c r="C22" s="42">
        <f>(3*6*90)+(4*150)+(6*3*40)</f>
        <v>2940</v>
      </c>
      <c r="D22" s="42"/>
      <c r="E22" s="12" t="s">
        <v>52</v>
      </c>
      <c r="F22" s="6" t="s">
        <v>219</v>
      </c>
      <c r="G22" s="42"/>
      <c r="H22" s="42">
        <f>D10</f>
        <v>734</v>
      </c>
      <c r="I22" s="6" t="s">
        <v>292</v>
      </c>
      <c r="J22" s="5"/>
      <c r="K22" s="28"/>
      <c r="L22" s="28"/>
      <c r="M22" s="220">
        <f>M15+M21</f>
        <v>96</v>
      </c>
      <c r="N22" s="28"/>
      <c r="O22" s="5"/>
      <c r="P22" s="62"/>
      <c r="Q22" s="60"/>
      <c r="R22" s="61"/>
      <c r="S22" s="43"/>
      <c r="T22" s="32"/>
      <c r="U22" s="32"/>
      <c r="V22" s="5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s="3" customFormat="1" ht="16.5" customHeight="1" x14ac:dyDescent="0.35">
      <c r="A23" s="5"/>
      <c r="B23" s="6" t="s">
        <v>4</v>
      </c>
      <c r="C23" s="42">
        <f>RH!F9</f>
        <v>14180</v>
      </c>
      <c r="D23" s="42"/>
      <c r="E23" s="6" t="s">
        <v>216</v>
      </c>
      <c r="F23" s="6" t="s">
        <v>293</v>
      </c>
      <c r="G23" s="42"/>
      <c r="H23" s="42">
        <f>D12+D13+D14</f>
        <v>875</v>
      </c>
      <c r="I23" s="6" t="s">
        <v>218</v>
      </c>
      <c r="J23" s="5"/>
      <c r="K23" s="5"/>
      <c r="L23" s="5"/>
      <c r="M23" s="95"/>
      <c r="N23" s="5"/>
      <c r="O23" s="5"/>
      <c r="P23" s="5"/>
      <c r="Q23" s="68">
        <f>SUM(Q8:Q22)</f>
        <v>131</v>
      </c>
      <c r="R23" s="34">
        <f>SUM(R8:R22)</f>
        <v>96448</v>
      </c>
      <c r="S23" s="34">
        <f>SUM(S8:S22)</f>
        <v>98410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x14ac:dyDescent="0.35">
      <c r="B24" s="6" t="s">
        <v>5</v>
      </c>
      <c r="C24" s="42">
        <f>RH!G9</f>
        <v>4606</v>
      </c>
      <c r="D24" s="42"/>
      <c r="E24" s="6" t="s">
        <v>54</v>
      </c>
      <c r="F24" s="221" t="s">
        <v>294</v>
      </c>
      <c r="G24" s="42"/>
      <c r="H24" s="42">
        <f>D16</f>
        <v>450</v>
      </c>
      <c r="I24" s="7"/>
      <c r="Q24" s="35">
        <f>Q2-Q23</f>
        <v>-65</v>
      </c>
      <c r="R24" s="36">
        <f>R2-R23</f>
        <v>-22756.5</v>
      </c>
      <c r="S24" s="36">
        <f>R2-S23</f>
        <v>-24718.5</v>
      </c>
    </row>
    <row r="25" spans="1:53" x14ac:dyDescent="0.35">
      <c r="B25" s="6"/>
      <c r="C25" s="42"/>
      <c r="D25" s="42"/>
      <c r="E25" s="6"/>
      <c r="F25" s="10" t="s">
        <v>308</v>
      </c>
      <c r="G25" s="42">
        <f>C27*0.305</f>
        <v>27708.7925</v>
      </c>
      <c r="H25" s="42"/>
      <c r="I25" s="7" t="s">
        <v>222</v>
      </c>
      <c r="Q25" s="35"/>
      <c r="R25" s="36"/>
      <c r="S25" s="36"/>
    </row>
    <row r="26" spans="1:53" x14ac:dyDescent="0.35">
      <c r="B26" s="4"/>
      <c r="C26" s="45"/>
      <c r="D26" s="45"/>
      <c r="E26" s="4"/>
      <c r="F26" s="4"/>
      <c r="G26" s="45"/>
      <c r="H26" s="45"/>
      <c r="I26" s="4"/>
    </row>
    <row r="27" spans="1:53" x14ac:dyDescent="0.35">
      <c r="B27" s="11" t="s">
        <v>31</v>
      </c>
      <c r="C27" s="47">
        <f>SUM(C3:C26)</f>
        <v>90848.5</v>
      </c>
      <c r="D27" s="47"/>
      <c r="E27" s="11"/>
      <c r="F27" s="11" t="s">
        <v>31</v>
      </c>
      <c r="G27" s="47">
        <f>SUM(G3:G26)</f>
        <v>91588.792499999996</v>
      </c>
      <c r="H27" s="47"/>
      <c r="I27" s="11"/>
      <c r="P27" s="17">
        <f>C27-G27</f>
        <v>-740.29249999999593</v>
      </c>
      <c r="Q27" s="17">
        <f>P27/2</f>
        <v>-370.14624999999796</v>
      </c>
    </row>
    <row r="28" spans="1:53" x14ac:dyDescent="0.35">
      <c r="G28" s="46">
        <f>SUM(G4:G21)*0.09</f>
        <v>5749.2</v>
      </c>
      <c r="I28" s="28" t="s">
        <v>209</v>
      </c>
    </row>
    <row r="29" spans="1:53" x14ac:dyDescent="0.35">
      <c r="G29" s="46">
        <f>G27-G28</f>
        <v>85839.592499999999</v>
      </c>
    </row>
    <row r="30" spans="1:53" x14ac:dyDescent="0.35">
      <c r="F30" s="72" t="s">
        <v>148</v>
      </c>
      <c r="G30" s="73">
        <f>G29-C27</f>
        <v>-5008.9075000000012</v>
      </c>
      <c r="H30" s="73"/>
    </row>
  </sheetData>
  <mergeCells count="8">
    <mergeCell ref="Q1:R1"/>
    <mergeCell ref="T1:U1"/>
    <mergeCell ref="O8:O13"/>
    <mergeCell ref="O15:O20"/>
    <mergeCell ref="C1:E1"/>
    <mergeCell ref="G1:I1"/>
    <mergeCell ref="K4:K14"/>
    <mergeCell ref="K17:K20"/>
  </mergeCells>
  <pageMargins left="0.25" right="0.25" top="0.75" bottom="0.75" header="0.3" footer="0.3"/>
  <pageSetup paperSize="8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F7" sqref="F7"/>
    </sheetView>
  </sheetViews>
  <sheetFormatPr baseColWidth="10" defaultRowHeight="14.5" x14ac:dyDescent="0.35"/>
  <cols>
    <col min="1" max="1" width="31.08984375" customWidth="1"/>
    <col min="2" max="2" width="9.1796875" style="248" customWidth="1"/>
    <col min="3" max="3" width="11.453125" style="248" bestFit="1" customWidth="1"/>
    <col min="4" max="4" width="27.81640625" style="249" customWidth="1"/>
    <col min="5" max="5" width="6.1796875" style="248" customWidth="1"/>
    <col min="6" max="6" width="12.36328125" style="248" customWidth="1"/>
    <col min="7" max="7" width="32.54296875" style="249" customWidth="1"/>
  </cols>
  <sheetData>
    <row r="1" spans="1:7" x14ac:dyDescent="0.35">
      <c r="A1" s="55"/>
      <c r="B1" s="368"/>
      <c r="C1" s="368"/>
      <c r="D1" s="252"/>
      <c r="E1" s="368"/>
      <c r="F1" s="368"/>
      <c r="G1" s="252"/>
    </row>
    <row r="2" spans="1:7" x14ac:dyDescent="0.35">
      <c r="A2" s="370" t="s">
        <v>0</v>
      </c>
      <c r="B2" s="370"/>
      <c r="C2" s="370"/>
      <c r="D2" s="369" t="s">
        <v>1</v>
      </c>
      <c r="E2" s="369"/>
      <c r="F2" s="369"/>
      <c r="G2" s="252"/>
    </row>
    <row r="3" spans="1:7" x14ac:dyDescent="0.35">
      <c r="A3" s="6"/>
      <c r="B3" s="251" t="s">
        <v>239</v>
      </c>
      <c r="C3" s="251" t="s">
        <v>220</v>
      </c>
      <c r="D3" s="12"/>
      <c r="E3" s="251" t="s">
        <v>239</v>
      </c>
      <c r="F3" s="251" t="s">
        <v>220</v>
      </c>
      <c r="G3" s="252"/>
    </row>
    <row r="4" spans="1:7" x14ac:dyDescent="0.35">
      <c r="A4" s="256" t="s">
        <v>11</v>
      </c>
      <c r="B4" s="251"/>
      <c r="C4" s="251"/>
      <c r="D4" s="257" t="s">
        <v>306</v>
      </c>
      <c r="E4" s="251"/>
      <c r="F4" s="251"/>
      <c r="G4" s="258"/>
    </row>
    <row r="5" spans="1:7" ht="29" x14ac:dyDescent="0.35">
      <c r="A5" s="6" t="s">
        <v>264</v>
      </c>
      <c r="B5" s="251">
        <v>27300</v>
      </c>
      <c r="C5" s="251">
        <v>6300</v>
      </c>
      <c r="D5" s="12" t="s">
        <v>295</v>
      </c>
      <c r="E5" s="251"/>
      <c r="F5" s="251">
        <v>6300</v>
      </c>
      <c r="G5" s="12" t="s">
        <v>301</v>
      </c>
    </row>
    <row r="6" spans="1:7" x14ac:dyDescent="0.35">
      <c r="A6" s="6" t="s">
        <v>257</v>
      </c>
      <c r="B6" s="251">
        <v>18408</v>
      </c>
      <c r="C6" s="251">
        <v>4248</v>
      </c>
      <c r="D6" s="12" t="s">
        <v>296</v>
      </c>
      <c r="E6" s="251"/>
      <c r="F6" s="251">
        <v>4248</v>
      </c>
      <c r="G6" s="12" t="s">
        <v>285</v>
      </c>
    </row>
    <row r="7" spans="1:7" ht="29" x14ac:dyDescent="0.35">
      <c r="A7" s="6" t="s">
        <v>265</v>
      </c>
      <c r="B7" s="251">
        <v>456.5</v>
      </c>
      <c r="C7" s="251">
        <v>456.5</v>
      </c>
      <c r="D7" s="12" t="s">
        <v>212</v>
      </c>
      <c r="E7" s="251"/>
      <c r="F7" s="251">
        <v>456.5</v>
      </c>
      <c r="G7" s="12" t="s">
        <v>262</v>
      </c>
    </row>
    <row r="8" spans="1:7" x14ac:dyDescent="0.35">
      <c r="A8" s="6" t="s">
        <v>141</v>
      </c>
      <c r="B8" s="251">
        <v>2739</v>
      </c>
      <c r="C8" s="251">
        <v>0</v>
      </c>
      <c r="D8" s="12" t="s">
        <v>213</v>
      </c>
      <c r="E8" s="251"/>
      <c r="F8" s="251">
        <v>0</v>
      </c>
      <c r="G8" s="12" t="s">
        <v>286</v>
      </c>
    </row>
    <row r="9" spans="1:7" x14ac:dyDescent="0.35">
      <c r="A9" s="6" t="s">
        <v>142</v>
      </c>
      <c r="B9" s="251">
        <v>3626</v>
      </c>
      <c r="C9" s="251">
        <v>1036</v>
      </c>
      <c r="D9" s="12" t="s">
        <v>214</v>
      </c>
      <c r="E9" s="251"/>
      <c r="F9" s="251">
        <f>C9</f>
        <v>1036</v>
      </c>
      <c r="G9" s="12" t="s">
        <v>287</v>
      </c>
    </row>
    <row r="10" spans="1:7" x14ac:dyDescent="0.35">
      <c r="A10" s="6" t="s">
        <v>184</v>
      </c>
      <c r="B10" s="251"/>
      <c r="C10" s="251"/>
      <c r="D10" s="25"/>
      <c r="E10" s="250"/>
      <c r="F10" s="250"/>
      <c r="G10" s="12"/>
    </row>
    <row r="11" spans="1:7" x14ac:dyDescent="0.35">
      <c r="A11" s="6" t="s">
        <v>33</v>
      </c>
      <c r="B11" s="251">
        <v>1468</v>
      </c>
      <c r="C11" s="251">
        <v>734</v>
      </c>
      <c r="D11" s="12" t="s">
        <v>219</v>
      </c>
      <c r="E11" s="251"/>
      <c r="F11" s="251">
        <v>734</v>
      </c>
      <c r="G11" s="12" t="s">
        <v>289</v>
      </c>
    </row>
    <row r="12" spans="1:7" x14ac:dyDescent="0.35">
      <c r="A12" s="256" t="s">
        <v>8</v>
      </c>
      <c r="B12" s="251"/>
      <c r="C12" s="251"/>
      <c r="D12" s="257" t="s">
        <v>8</v>
      </c>
      <c r="E12" s="251"/>
      <c r="F12" s="251"/>
      <c r="G12" s="12"/>
    </row>
    <row r="13" spans="1:7" x14ac:dyDescent="0.35">
      <c r="A13" s="6" t="s">
        <v>195</v>
      </c>
      <c r="B13" s="251">
        <v>100</v>
      </c>
      <c r="C13" s="251">
        <v>100</v>
      </c>
      <c r="D13" s="25" t="s">
        <v>195</v>
      </c>
      <c r="E13" s="250"/>
      <c r="F13" s="250">
        <f>C13</f>
        <v>100</v>
      </c>
      <c r="G13" s="12" t="s">
        <v>208</v>
      </c>
    </row>
    <row r="14" spans="1:7" x14ac:dyDescent="0.35">
      <c r="A14" s="6" t="s">
        <v>135</v>
      </c>
      <c r="B14" s="251">
        <v>275</v>
      </c>
      <c r="C14" s="251">
        <v>275</v>
      </c>
      <c r="D14" s="25" t="s">
        <v>135</v>
      </c>
      <c r="E14" s="250"/>
      <c r="F14" s="250">
        <f t="shared" ref="F14:F15" si="0">C14</f>
        <v>275</v>
      </c>
      <c r="G14" s="12" t="s">
        <v>208</v>
      </c>
    </row>
    <row r="15" spans="1:7" x14ac:dyDescent="0.35">
      <c r="A15" s="6" t="s">
        <v>3</v>
      </c>
      <c r="B15" s="251">
        <v>500</v>
      </c>
      <c r="C15" s="251">
        <v>500</v>
      </c>
      <c r="D15" s="12" t="s">
        <v>3</v>
      </c>
      <c r="E15" s="251"/>
      <c r="F15" s="250">
        <f t="shared" si="0"/>
        <v>500</v>
      </c>
      <c r="G15" s="12" t="s">
        <v>208</v>
      </c>
    </row>
    <row r="16" spans="1:7" x14ac:dyDescent="0.35">
      <c r="A16" s="256" t="s">
        <v>9</v>
      </c>
      <c r="B16" s="251"/>
      <c r="C16" s="251"/>
      <c r="D16" s="256" t="s">
        <v>9</v>
      </c>
      <c r="E16" s="251"/>
      <c r="F16" s="251"/>
      <c r="G16" s="12"/>
    </row>
    <row r="17" spans="1:7" x14ac:dyDescent="0.35">
      <c r="A17" s="6" t="s">
        <v>7</v>
      </c>
      <c r="B17" s="251">
        <v>450</v>
      </c>
      <c r="C17" s="254">
        <v>450</v>
      </c>
      <c r="D17" s="12" t="s">
        <v>294</v>
      </c>
      <c r="E17" s="251"/>
      <c r="F17" s="251">
        <v>450</v>
      </c>
      <c r="G17" s="12" t="s">
        <v>290</v>
      </c>
    </row>
    <row r="18" spans="1:7" x14ac:dyDescent="0.35">
      <c r="A18" s="55"/>
      <c r="B18" s="253"/>
      <c r="C18" s="255">
        <f>SUM(C5:C17)</f>
        <v>14099.5</v>
      </c>
      <c r="D18" s="252"/>
      <c r="E18" s="253"/>
      <c r="F18" s="300">
        <f>SUM(F5:F17)</f>
        <v>14099.5</v>
      </c>
      <c r="G18" s="252"/>
    </row>
  </sheetData>
  <mergeCells count="4">
    <mergeCell ref="B1:C1"/>
    <mergeCell ref="E1:F1"/>
    <mergeCell ref="D2:F2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zoomScale="40" zoomScaleNormal="40" workbookViewId="0">
      <selection activeCell="Y28" sqref="Y28"/>
    </sheetView>
  </sheetViews>
  <sheetFormatPr baseColWidth="10" defaultRowHeight="14.5" x14ac:dyDescent="0.35"/>
  <cols>
    <col min="1" max="1" width="10.90625" style="28"/>
    <col min="2" max="2" width="14.08984375" customWidth="1"/>
    <col min="3" max="7" width="5.6328125" customWidth="1"/>
    <col min="8" max="13" width="5.6328125" style="28" customWidth="1"/>
    <col min="14" max="14" width="5.6328125" customWidth="1"/>
    <col min="16" max="18" width="5.6328125" customWidth="1"/>
    <col min="19" max="24" width="5.6328125" style="28" customWidth="1"/>
    <col min="25" max="27" width="5.6328125" customWidth="1"/>
    <col min="36" max="36" width="24.1796875" customWidth="1"/>
    <col min="37" max="37" width="24.08984375" customWidth="1"/>
    <col min="38" max="38" width="34.81640625" customWidth="1"/>
  </cols>
  <sheetData>
    <row r="1" spans="1:38" s="28" customFormat="1" ht="39" customHeight="1" thickBot="1" x14ac:dyDescent="0.8">
      <c r="B1" s="128"/>
      <c r="C1" s="129"/>
      <c r="D1" s="129"/>
      <c r="E1" s="134"/>
      <c r="F1" s="134"/>
      <c r="G1" s="134"/>
      <c r="H1" s="134"/>
      <c r="I1" s="134" t="s">
        <v>251</v>
      </c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36"/>
      <c r="U1" s="136"/>
      <c r="V1" s="136"/>
      <c r="W1" s="136"/>
      <c r="X1" s="137"/>
      <c r="Y1" s="134"/>
      <c r="Z1" s="134"/>
      <c r="AA1" s="222" t="s">
        <v>299</v>
      </c>
      <c r="AB1" s="134"/>
      <c r="AC1" s="134"/>
      <c r="AD1" s="134"/>
      <c r="AE1" s="134"/>
      <c r="AF1" s="134"/>
      <c r="AG1" s="135"/>
    </row>
    <row r="2" spans="1:38" s="94" customFormat="1" ht="47.5" customHeight="1" thickBot="1" x14ac:dyDescent="0.4">
      <c r="O2" s="148">
        <v>3</v>
      </c>
      <c r="AB2" s="148"/>
    </row>
    <row r="3" spans="1:38" ht="28.5" customHeight="1" x14ac:dyDescent="0.35">
      <c r="A3" s="130"/>
      <c r="B3" s="94"/>
      <c r="C3" s="188"/>
      <c r="D3" s="198">
        <v>2</v>
      </c>
      <c r="E3" s="190"/>
      <c r="F3" s="191"/>
      <c r="G3" s="189"/>
      <c r="H3" s="190"/>
      <c r="I3" s="189"/>
      <c r="J3" s="190">
        <v>4</v>
      </c>
      <c r="K3" s="189"/>
      <c r="L3" s="189"/>
      <c r="M3" s="189"/>
      <c r="N3" s="191"/>
      <c r="O3" s="94"/>
      <c r="P3" s="214"/>
      <c r="Q3" s="215">
        <v>3</v>
      </c>
      <c r="R3" s="216"/>
      <c r="S3" s="216"/>
      <c r="T3" s="216"/>
      <c r="U3" s="217"/>
      <c r="V3" s="216"/>
      <c r="W3" s="216"/>
      <c r="X3" s="215">
        <v>3</v>
      </c>
      <c r="Y3" s="216"/>
      <c r="Z3" s="216"/>
      <c r="AA3" s="230"/>
      <c r="AB3" s="94"/>
      <c r="AC3" s="140"/>
      <c r="AD3" s="141"/>
      <c r="AE3" s="141"/>
      <c r="AF3" s="141"/>
      <c r="AG3" s="141"/>
      <c r="AH3" s="142"/>
      <c r="AI3" s="139"/>
      <c r="AJ3" s="99" t="s">
        <v>224</v>
      </c>
      <c r="AK3" s="99" t="s">
        <v>133</v>
      </c>
      <c r="AL3" s="99" t="s">
        <v>225</v>
      </c>
    </row>
    <row r="4" spans="1:38" ht="28.5" customHeight="1" x14ac:dyDescent="0.75">
      <c r="A4" s="131"/>
      <c r="B4" s="94"/>
      <c r="C4" s="192"/>
      <c r="D4" s="107"/>
      <c r="E4" s="107"/>
      <c r="F4" s="108"/>
      <c r="G4" s="107"/>
      <c r="H4" s="107"/>
      <c r="I4" s="107"/>
      <c r="J4" s="111" t="s">
        <v>266</v>
      </c>
      <c r="K4" s="107"/>
      <c r="L4" s="107"/>
      <c r="M4" s="107"/>
      <c r="N4" s="193">
        <v>1.5</v>
      </c>
      <c r="O4" s="94"/>
      <c r="P4" s="109"/>
      <c r="Q4" s="107"/>
      <c r="R4" s="107"/>
      <c r="S4" s="107"/>
      <c r="T4" s="107"/>
      <c r="U4" s="108"/>
      <c r="V4" s="107"/>
      <c r="W4" s="107"/>
      <c r="X4" s="107"/>
      <c r="Y4" s="107"/>
      <c r="Z4" s="107"/>
      <c r="AA4" s="116"/>
      <c r="AB4" s="94"/>
      <c r="AC4" s="138"/>
      <c r="AD4" s="125"/>
      <c r="AE4" s="125"/>
      <c r="AF4" s="125"/>
      <c r="AG4" s="125"/>
      <c r="AH4" s="126"/>
      <c r="AI4" s="366" t="s">
        <v>239</v>
      </c>
      <c r="AJ4" s="6" t="s">
        <v>228</v>
      </c>
      <c r="AK4" s="8">
        <v>22</v>
      </c>
      <c r="AL4" s="6" t="s">
        <v>230</v>
      </c>
    </row>
    <row r="5" spans="1:38" ht="28.5" customHeight="1" x14ac:dyDescent="0.75">
      <c r="A5" s="131"/>
      <c r="B5" s="94"/>
      <c r="C5" s="192">
        <v>4</v>
      </c>
      <c r="D5" s="111"/>
      <c r="E5" s="107"/>
      <c r="F5" s="108"/>
      <c r="G5" s="111"/>
      <c r="H5" s="111"/>
      <c r="I5" s="111"/>
      <c r="J5" s="185" t="s">
        <v>204</v>
      </c>
      <c r="K5" s="107"/>
      <c r="L5" s="107"/>
      <c r="M5" s="107"/>
      <c r="N5" s="108"/>
      <c r="O5" s="94"/>
      <c r="P5" s="109"/>
      <c r="Q5" s="107"/>
      <c r="R5" s="111" t="s">
        <v>231</v>
      </c>
      <c r="S5" s="107"/>
      <c r="T5" s="107"/>
      <c r="U5" s="108"/>
      <c r="V5" s="107"/>
      <c r="W5" s="107"/>
      <c r="X5" s="107"/>
      <c r="Y5" s="107"/>
      <c r="Z5" s="107"/>
      <c r="AA5" s="116"/>
      <c r="AB5" s="94"/>
      <c r="AC5" s="138"/>
      <c r="AD5" s="125"/>
      <c r="AE5" s="125"/>
      <c r="AF5" s="125"/>
      <c r="AG5" s="125"/>
      <c r="AH5" s="126"/>
      <c r="AI5" s="367"/>
      <c r="AJ5" s="6" t="s">
        <v>229</v>
      </c>
      <c r="AK5" s="8">
        <v>8</v>
      </c>
      <c r="AL5" s="6" t="s">
        <v>230</v>
      </c>
    </row>
    <row r="6" spans="1:38" ht="28.5" customHeight="1" x14ac:dyDescent="0.75">
      <c r="A6" s="131"/>
      <c r="B6" s="94"/>
      <c r="C6" s="117"/>
      <c r="D6" s="111" t="s">
        <v>273</v>
      </c>
      <c r="E6" s="107"/>
      <c r="F6" s="124"/>
      <c r="G6" s="200"/>
      <c r="H6" s="201"/>
      <c r="I6" s="201"/>
      <c r="J6" s="180"/>
      <c r="K6" s="181">
        <v>4</v>
      </c>
      <c r="L6" s="180"/>
      <c r="M6" s="180"/>
      <c r="N6" s="182"/>
      <c r="O6" s="94"/>
      <c r="P6" s="109"/>
      <c r="Q6" s="111"/>
      <c r="R6" s="111" t="s">
        <v>193</v>
      </c>
      <c r="S6" s="107"/>
      <c r="T6" s="124"/>
      <c r="U6" s="108"/>
      <c r="V6" s="107"/>
      <c r="W6" s="107"/>
      <c r="X6" s="111" t="s">
        <v>232</v>
      </c>
      <c r="Y6" s="107"/>
      <c r="Z6" s="107"/>
      <c r="AA6" s="116"/>
      <c r="AB6" s="94"/>
      <c r="AC6" s="138"/>
      <c r="AD6" s="125"/>
      <c r="AE6" s="125"/>
      <c r="AF6" s="125"/>
      <c r="AG6" s="125"/>
      <c r="AH6" s="126"/>
      <c r="AI6" s="367"/>
      <c r="AJ6" s="59" t="s">
        <v>227</v>
      </c>
      <c r="AK6" s="127">
        <v>6</v>
      </c>
      <c r="AL6" s="6" t="s">
        <v>230</v>
      </c>
    </row>
    <row r="7" spans="1:38" ht="28.5" customHeight="1" x14ac:dyDescent="0.75">
      <c r="A7" s="131"/>
      <c r="B7" s="94"/>
      <c r="C7" s="194"/>
      <c r="D7" s="111" t="s">
        <v>248</v>
      </c>
      <c r="E7" s="195"/>
      <c r="F7" s="195"/>
      <c r="G7" s="176">
        <v>2.5</v>
      </c>
      <c r="H7" s="174" t="s">
        <v>269</v>
      </c>
      <c r="I7" s="172"/>
      <c r="J7" s="172"/>
      <c r="K7" s="172"/>
      <c r="L7" s="172"/>
      <c r="M7" s="172"/>
      <c r="N7" s="175"/>
      <c r="O7" s="94"/>
      <c r="P7" s="110">
        <v>3</v>
      </c>
      <c r="Q7" s="111"/>
      <c r="R7" s="107"/>
      <c r="S7" s="107"/>
      <c r="T7" s="107"/>
      <c r="U7" s="218"/>
      <c r="V7" s="124">
        <v>5</v>
      </c>
      <c r="W7" s="111"/>
      <c r="X7" s="111" t="s">
        <v>259</v>
      </c>
      <c r="Y7" s="107"/>
      <c r="Z7" s="107"/>
      <c r="AA7" s="116"/>
      <c r="AB7" s="94"/>
      <c r="AC7" s="138"/>
      <c r="AD7" s="125"/>
      <c r="AE7" s="125"/>
      <c r="AF7" s="125"/>
      <c r="AG7" s="125"/>
      <c r="AH7" s="126"/>
      <c r="AI7" s="367"/>
      <c r="AJ7" s="6" t="s">
        <v>233</v>
      </c>
      <c r="AK7" s="8">
        <v>9</v>
      </c>
      <c r="AL7" s="6" t="s">
        <v>261</v>
      </c>
    </row>
    <row r="8" spans="1:38" ht="28.5" customHeight="1" x14ac:dyDescent="0.75">
      <c r="A8" s="131"/>
      <c r="B8" s="94"/>
      <c r="C8" s="192"/>
      <c r="D8" s="195"/>
      <c r="E8" s="195"/>
      <c r="F8" s="107"/>
      <c r="G8" s="199"/>
      <c r="H8" s="174" t="s">
        <v>260</v>
      </c>
      <c r="I8" s="172"/>
      <c r="J8" s="173"/>
      <c r="K8" s="172"/>
      <c r="L8" s="172"/>
      <c r="M8" s="172"/>
      <c r="N8" s="175"/>
      <c r="O8" s="94"/>
      <c r="P8" s="121"/>
      <c r="Q8" s="122"/>
      <c r="R8" s="122"/>
      <c r="S8" s="122"/>
      <c r="T8" s="122"/>
      <c r="U8" s="219"/>
      <c r="V8" s="107"/>
      <c r="W8" s="107"/>
      <c r="X8" s="107"/>
      <c r="Y8" s="107"/>
      <c r="Z8" s="107"/>
      <c r="AA8" s="116"/>
      <c r="AB8" s="94"/>
      <c r="AC8" s="138"/>
      <c r="AD8" s="150" t="s">
        <v>253</v>
      </c>
      <c r="AE8" s="102"/>
      <c r="AF8" s="143"/>
      <c r="AG8" s="125"/>
      <c r="AH8" s="126"/>
      <c r="AI8" s="367"/>
      <c r="AJ8" s="6" t="s">
        <v>232</v>
      </c>
      <c r="AK8" s="8">
        <v>15</v>
      </c>
      <c r="AL8" s="6" t="s">
        <v>243</v>
      </c>
    </row>
    <row r="9" spans="1:38" ht="28.5" customHeight="1" x14ac:dyDescent="0.75">
      <c r="A9" s="131"/>
      <c r="B9" s="94"/>
      <c r="C9" s="194"/>
      <c r="D9" s="185"/>
      <c r="E9" s="111"/>
      <c r="F9" s="107"/>
      <c r="G9" s="200"/>
      <c r="H9" s="209" t="s">
        <v>279</v>
      </c>
      <c r="I9" s="171"/>
      <c r="J9" s="208"/>
      <c r="K9" s="170"/>
      <c r="L9" s="153"/>
      <c r="M9" s="153"/>
      <c r="N9" s="210"/>
      <c r="O9" s="94"/>
      <c r="P9" s="106"/>
      <c r="Q9" s="103"/>
      <c r="R9" s="103"/>
      <c r="S9" s="168">
        <v>3</v>
      </c>
      <c r="T9" s="103"/>
      <c r="U9" s="104"/>
      <c r="V9" s="107"/>
      <c r="W9" s="107"/>
      <c r="X9" s="107"/>
      <c r="Y9" s="107"/>
      <c r="Z9" s="107"/>
      <c r="AA9" s="116"/>
      <c r="AB9" s="94"/>
      <c r="AC9" s="138"/>
      <c r="AD9" s="125"/>
      <c r="AE9" s="125"/>
      <c r="AF9" s="125"/>
      <c r="AG9" s="125"/>
      <c r="AH9" s="126"/>
      <c r="AI9" s="367"/>
      <c r="AJ9" s="6" t="s">
        <v>235</v>
      </c>
      <c r="AK9" s="8">
        <v>6</v>
      </c>
      <c r="AL9" s="6" t="s">
        <v>244</v>
      </c>
    </row>
    <row r="10" spans="1:38" ht="28.5" customHeight="1" x14ac:dyDescent="0.75">
      <c r="A10" s="131"/>
      <c r="B10" s="94"/>
      <c r="C10" s="196"/>
      <c r="D10" s="197"/>
      <c r="E10" s="197"/>
      <c r="F10" s="197"/>
      <c r="G10" s="177"/>
      <c r="H10" s="178"/>
      <c r="I10" s="178"/>
      <c r="J10" s="179"/>
      <c r="K10" s="211"/>
      <c r="L10" s="213" t="s">
        <v>280</v>
      </c>
      <c r="M10" s="154"/>
      <c r="N10" s="212"/>
      <c r="O10" s="94"/>
      <c r="P10" s="106"/>
      <c r="Q10" s="103"/>
      <c r="R10" s="105" t="s">
        <v>250</v>
      </c>
      <c r="S10" s="103"/>
      <c r="T10" s="103"/>
      <c r="U10" s="104"/>
      <c r="V10" s="107"/>
      <c r="W10" s="107"/>
      <c r="X10" s="107"/>
      <c r="Y10" s="107"/>
      <c r="Z10" s="107"/>
      <c r="AA10" s="116"/>
      <c r="AB10" s="94"/>
      <c r="AC10" s="138"/>
      <c r="AD10" s="125"/>
      <c r="AE10" s="125"/>
      <c r="AF10" s="125"/>
      <c r="AG10" s="125"/>
      <c r="AH10" s="126"/>
      <c r="AI10" s="367"/>
      <c r="AJ10" s="4" t="s">
        <v>271</v>
      </c>
      <c r="AK10" s="187">
        <v>2</v>
      </c>
      <c r="AL10" s="4"/>
    </row>
    <row r="11" spans="1:38" ht="28.5" customHeight="1" x14ac:dyDescent="0.75">
      <c r="A11" s="131"/>
      <c r="B11" s="94"/>
      <c r="C11" s="109"/>
      <c r="D11" s="107"/>
      <c r="E11" s="111" t="s">
        <v>249</v>
      </c>
      <c r="F11" s="107"/>
      <c r="G11" s="107"/>
      <c r="H11" s="107"/>
      <c r="I11" s="120"/>
      <c r="J11" s="107"/>
      <c r="K11" s="203"/>
      <c r="L11" s="206">
        <v>2</v>
      </c>
      <c r="M11" s="204"/>
      <c r="N11" s="205"/>
      <c r="O11" s="94"/>
      <c r="P11" s="202">
        <v>2</v>
      </c>
      <c r="Q11" s="103"/>
      <c r="R11" s="105" t="s">
        <v>204</v>
      </c>
      <c r="S11" s="103"/>
      <c r="T11" s="168"/>
      <c r="U11" s="104"/>
      <c r="V11" s="107"/>
      <c r="W11" s="107"/>
      <c r="X11" s="111"/>
      <c r="Y11" s="107"/>
      <c r="Z11" s="107"/>
      <c r="AA11" s="116"/>
      <c r="AB11" s="94"/>
      <c r="AC11" s="138"/>
      <c r="AD11" s="125"/>
      <c r="AE11" s="125"/>
      <c r="AF11" s="125"/>
      <c r="AG11" s="125"/>
      <c r="AH11" s="126"/>
      <c r="AI11" s="367"/>
      <c r="AJ11" s="4" t="s">
        <v>271</v>
      </c>
      <c r="AK11" s="187">
        <v>2</v>
      </c>
      <c r="AL11" s="4"/>
    </row>
    <row r="12" spans="1:38" ht="28.5" customHeight="1" thickBot="1" x14ac:dyDescent="0.8">
      <c r="A12" s="131"/>
      <c r="B12" s="94"/>
      <c r="C12" s="149">
        <v>1.5</v>
      </c>
      <c r="D12" s="107"/>
      <c r="E12" s="111" t="s">
        <v>204</v>
      </c>
      <c r="F12" s="107"/>
      <c r="G12" s="107"/>
      <c r="H12" s="107"/>
      <c r="I12" s="107"/>
      <c r="J12" s="107"/>
      <c r="K12" s="156"/>
      <c r="L12" s="207" t="s">
        <v>277</v>
      </c>
      <c r="M12" s="155"/>
      <c r="N12" s="157"/>
      <c r="O12" s="94"/>
      <c r="P12" s="164"/>
      <c r="Q12" s="165"/>
      <c r="R12" s="165"/>
      <c r="S12" s="165"/>
      <c r="T12" s="165"/>
      <c r="U12" s="166"/>
      <c r="V12" s="113"/>
      <c r="W12" s="113"/>
      <c r="X12" s="113"/>
      <c r="Y12" s="113"/>
      <c r="Z12" s="113"/>
      <c r="AA12" s="119"/>
      <c r="AB12" s="94"/>
      <c r="AC12" s="138"/>
      <c r="AD12" s="125"/>
      <c r="AE12" s="125"/>
      <c r="AF12" s="125"/>
      <c r="AG12" s="125"/>
      <c r="AH12" s="126"/>
      <c r="AI12" s="367"/>
      <c r="AJ12" s="6" t="s">
        <v>236</v>
      </c>
      <c r="AK12" s="8">
        <v>2</v>
      </c>
      <c r="AL12" s="6" t="s">
        <v>243</v>
      </c>
    </row>
    <row r="13" spans="1:38" ht="28.5" customHeight="1" x14ac:dyDescent="0.75">
      <c r="A13" s="133" t="s">
        <v>252</v>
      </c>
      <c r="B13" s="148">
        <v>3</v>
      </c>
      <c r="C13" s="121"/>
      <c r="D13" s="122"/>
      <c r="E13" s="122"/>
      <c r="F13" s="123">
        <v>4</v>
      </c>
      <c r="G13" s="122"/>
      <c r="H13" s="122"/>
      <c r="I13" s="122"/>
      <c r="J13" s="122"/>
      <c r="K13" s="231"/>
      <c r="L13" s="232" t="s">
        <v>277</v>
      </c>
      <c r="M13" s="233"/>
      <c r="N13" s="205"/>
      <c r="O13" s="148">
        <v>2.5</v>
      </c>
      <c r="P13" s="158"/>
      <c r="Q13" s="101"/>
      <c r="R13" s="101"/>
      <c r="S13" s="101"/>
      <c r="T13" s="151"/>
      <c r="U13" s="101"/>
      <c r="V13" s="101"/>
      <c r="W13" s="101"/>
      <c r="X13" s="101"/>
      <c r="Y13" s="101"/>
      <c r="Z13" s="184"/>
      <c r="AA13" s="159"/>
      <c r="AB13" s="148">
        <v>3</v>
      </c>
      <c r="AC13" s="138"/>
      <c r="AD13" s="125"/>
      <c r="AE13" s="125"/>
      <c r="AF13" s="125"/>
      <c r="AG13" s="125"/>
      <c r="AH13" s="126"/>
      <c r="AI13" s="367"/>
      <c r="AJ13" s="6" t="s">
        <v>237</v>
      </c>
      <c r="AK13" s="8">
        <v>2</v>
      </c>
      <c r="AL13" s="6" t="s">
        <v>245</v>
      </c>
    </row>
    <row r="14" spans="1:38" ht="28.5" customHeight="1" x14ac:dyDescent="0.6">
      <c r="A14" s="131"/>
      <c r="B14" s="94"/>
      <c r="C14" s="109"/>
      <c r="D14" s="107"/>
      <c r="E14" s="107"/>
      <c r="F14" s="120">
        <v>4</v>
      </c>
      <c r="G14" s="107"/>
      <c r="H14" s="107"/>
      <c r="I14" s="107"/>
      <c r="J14" s="107"/>
      <c r="K14" s="234"/>
      <c r="L14" s="235"/>
      <c r="M14" s="236"/>
      <c r="N14" s="237"/>
      <c r="O14" s="94"/>
      <c r="P14" s="158"/>
      <c r="Q14" s="152"/>
      <c r="R14" s="101"/>
      <c r="S14" s="101"/>
      <c r="T14" s="101"/>
      <c r="U14" s="101"/>
      <c r="V14" s="101"/>
      <c r="W14" s="101"/>
      <c r="X14" s="101"/>
      <c r="Y14" s="101"/>
      <c r="Z14" s="101"/>
      <c r="AA14" s="159"/>
      <c r="AB14" s="94"/>
      <c r="AC14" s="138"/>
      <c r="AD14" s="125"/>
      <c r="AE14" s="125"/>
      <c r="AF14" s="125"/>
      <c r="AG14" s="125"/>
      <c r="AH14" s="126"/>
      <c r="AI14" s="367"/>
      <c r="AJ14" s="6" t="s">
        <v>238</v>
      </c>
      <c r="AK14" s="8">
        <v>4</v>
      </c>
      <c r="AL14" s="6" t="s">
        <v>246</v>
      </c>
    </row>
    <row r="15" spans="1:38" ht="28.5" customHeight="1" x14ac:dyDescent="0.75">
      <c r="A15" s="131"/>
      <c r="B15" s="94"/>
      <c r="C15" s="109"/>
      <c r="D15" s="107"/>
      <c r="E15" s="107"/>
      <c r="F15" s="107"/>
      <c r="G15" s="107"/>
      <c r="H15" s="107"/>
      <c r="I15" s="107"/>
      <c r="J15" s="107"/>
      <c r="K15" s="238"/>
      <c r="L15" s="239" t="s">
        <v>277</v>
      </c>
      <c r="M15" s="239"/>
      <c r="N15" s="191"/>
      <c r="O15" s="94"/>
      <c r="P15" s="158"/>
      <c r="Q15" s="101"/>
      <c r="R15" s="101"/>
      <c r="S15" s="102"/>
      <c r="T15" s="101"/>
      <c r="U15" s="101"/>
      <c r="V15" s="101"/>
      <c r="W15" s="101"/>
      <c r="X15" s="101"/>
      <c r="Y15" s="101"/>
      <c r="Z15" s="101"/>
      <c r="AA15" s="159"/>
      <c r="AB15" s="94"/>
      <c r="AC15" s="138"/>
      <c r="AD15" s="125"/>
      <c r="AE15" s="125"/>
      <c r="AF15" s="125"/>
      <c r="AG15" s="125"/>
      <c r="AH15" s="126"/>
      <c r="AJ15" s="97" t="s">
        <v>242</v>
      </c>
      <c r="AK15" s="98">
        <f>SUM(AK4:AK14)</f>
        <v>78</v>
      </c>
      <c r="AL15" s="5"/>
    </row>
    <row r="16" spans="1:38" ht="28.5" customHeight="1" x14ac:dyDescent="0.75">
      <c r="A16" s="131"/>
      <c r="B16" s="94"/>
      <c r="C16" s="109"/>
      <c r="D16" s="107"/>
      <c r="E16" s="107"/>
      <c r="F16" s="107"/>
      <c r="G16" s="107"/>
      <c r="H16" s="107"/>
      <c r="I16" s="107"/>
      <c r="J16" s="107"/>
      <c r="K16" s="240">
        <v>1.5</v>
      </c>
      <c r="L16" s="242" t="s">
        <v>278</v>
      </c>
      <c r="M16" s="122"/>
      <c r="N16" s="241"/>
      <c r="O16" s="94"/>
      <c r="P16" s="160"/>
      <c r="Q16" s="101"/>
      <c r="R16" s="102"/>
      <c r="S16" s="102"/>
      <c r="T16" s="101"/>
      <c r="U16" s="101"/>
      <c r="V16" s="101"/>
      <c r="W16" s="101"/>
      <c r="X16" s="101"/>
      <c r="Y16" s="101"/>
      <c r="Z16" s="101"/>
      <c r="AA16" s="159"/>
      <c r="AB16" s="94"/>
      <c r="AC16" s="138"/>
      <c r="AD16" s="125"/>
      <c r="AE16" s="125"/>
      <c r="AF16" s="125"/>
      <c r="AG16" s="125"/>
      <c r="AH16" s="126"/>
      <c r="AI16" s="186"/>
      <c r="AJ16" s="5"/>
      <c r="AK16" s="95"/>
      <c r="AL16" s="5"/>
    </row>
    <row r="17" spans="1:38" ht="28.5" customHeight="1" x14ac:dyDescent="0.75">
      <c r="A17" s="131"/>
      <c r="B17" s="94"/>
      <c r="C17" s="109"/>
      <c r="D17" s="107"/>
      <c r="E17" s="107"/>
      <c r="F17" s="107"/>
      <c r="G17" s="107"/>
      <c r="H17" s="107"/>
      <c r="I17" s="107"/>
      <c r="J17" s="108"/>
      <c r="K17" s="115"/>
      <c r="L17" s="107"/>
      <c r="M17" s="120">
        <v>2</v>
      </c>
      <c r="N17" s="116"/>
      <c r="O17" s="94"/>
      <c r="P17" s="158"/>
      <c r="Q17" s="101"/>
      <c r="R17" s="183"/>
      <c r="S17" s="101"/>
      <c r="T17" s="101"/>
      <c r="U17" s="101"/>
      <c r="V17" s="101"/>
      <c r="W17" s="101"/>
      <c r="X17" s="101"/>
      <c r="Y17" s="101"/>
      <c r="Z17" s="101"/>
      <c r="AA17" s="159"/>
      <c r="AB17" s="94"/>
      <c r="AC17" s="138"/>
      <c r="AD17" s="125"/>
      <c r="AE17" s="125"/>
      <c r="AF17" s="125"/>
      <c r="AG17" s="125"/>
      <c r="AH17" s="126"/>
      <c r="AI17" s="366" t="s">
        <v>240</v>
      </c>
      <c r="AJ17" s="6" t="s">
        <v>268</v>
      </c>
      <c r="AK17" s="8" t="s">
        <v>272</v>
      </c>
      <c r="AL17" s="6" t="s">
        <v>234</v>
      </c>
    </row>
    <row r="18" spans="1:38" ht="28.5" customHeight="1" x14ac:dyDescent="0.75">
      <c r="A18" s="131"/>
      <c r="B18" s="94"/>
      <c r="C18" s="110">
        <v>5.5</v>
      </c>
      <c r="D18" s="107"/>
      <c r="E18" s="107"/>
      <c r="F18" s="111" t="s">
        <v>226</v>
      </c>
      <c r="G18" s="107"/>
      <c r="H18" s="107"/>
      <c r="I18" s="107"/>
      <c r="J18" s="108"/>
      <c r="K18" s="115"/>
      <c r="L18" s="107"/>
      <c r="M18" s="107"/>
      <c r="N18" s="116"/>
      <c r="O18" s="94"/>
      <c r="P18" s="160"/>
      <c r="Q18" s="101"/>
      <c r="R18" s="101"/>
      <c r="S18" s="101"/>
      <c r="T18" s="101"/>
      <c r="U18" s="101"/>
      <c r="V18" s="101"/>
      <c r="W18" s="101"/>
      <c r="X18" s="102"/>
      <c r="Y18" s="101"/>
      <c r="Z18" s="101"/>
      <c r="AA18" s="169"/>
      <c r="AB18" s="94"/>
      <c r="AC18" s="138"/>
      <c r="AD18" s="125"/>
      <c r="AE18" s="125"/>
      <c r="AF18" s="125"/>
      <c r="AG18" s="125"/>
      <c r="AH18" s="126"/>
      <c r="AI18" s="367"/>
      <c r="AJ18" s="6" t="s">
        <v>270</v>
      </c>
      <c r="AK18" s="8">
        <v>6</v>
      </c>
      <c r="AL18" s="6" t="s">
        <v>217</v>
      </c>
    </row>
    <row r="19" spans="1:38" ht="28.5" customHeight="1" x14ac:dyDescent="0.75">
      <c r="A19" s="131"/>
      <c r="B19" s="94"/>
      <c r="C19" s="109"/>
      <c r="D19" s="107"/>
      <c r="E19" s="107"/>
      <c r="F19" s="107"/>
      <c r="G19" s="111" t="s">
        <v>247</v>
      </c>
      <c r="H19" s="107"/>
      <c r="I19" s="107"/>
      <c r="J19" s="108"/>
      <c r="K19" s="115"/>
      <c r="L19" s="107"/>
      <c r="M19" s="107"/>
      <c r="N19" s="116"/>
      <c r="O19" s="94"/>
      <c r="P19" s="158"/>
      <c r="Q19" s="101"/>
      <c r="R19" s="101"/>
      <c r="S19" s="101"/>
      <c r="T19" s="101"/>
      <c r="U19" s="101"/>
      <c r="V19" s="101"/>
      <c r="W19" s="101"/>
      <c r="X19" s="184"/>
      <c r="Y19" s="101"/>
      <c r="Z19" s="101"/>
      <c r="AA19" s="159"/>
      <c r="AB19" s="94"/>
      <c r="AC19" s="138"/>
      <c r="AD19" s="125"/>
      <c r="AE19" s="125"/>
      <c r="AF19" s="125"/>
      <c r="AG19" s="125"/>
      <c r="AH19" s="126"/>
      <c r="AI19" s="367"/>
      <c r="AJ19" s="6" t="s">
        <v>267</v>
      </c>
      <c r="AK19" s="8">
        <v>8</v>
      </c>
      <c r="AL19" s="6"/>
    </row>
    <row r="20" spans="1:38" ht="28.5" customHeight="1" x14ac:dyDescent="0.75">
      <c r="A20" s="131"/>
      <c r="B20" s="94"/>
      <c r="C20" s="109"/>
      <c r="D20" s="107"/>
      <c r="E20" s="107"/>
      <c r="F20" s="107"/>
      <c r="G20" s="107"/>
      <c r="H20" s="107"/>
      <c r="I20" s="107"/>
      <c r="J20" s="108"/>
      <c r="K20" s="117">
        <v>4</v>
      </c>
      <c r="L20" s="111" t="s">
        <v>174</v>
      </c>
      <c r="M20" s="107"/>
      <c r="N20" s="116"/>
      <c r="O20" s="94"/>
      <c r="P20" s="158"/>
      <c r="Q20" s="101"/>
      <c r="R20" s="101"/>
      <c r="S20" s="101"/>
      <c r="T20" s="151"/>
      <c r="U20" s="101"/>
      <c r="V20" s="101"/>
      <c r="W20" s="101"/>
      <c r="X20" s="101"/>
      <c r="Y20" s="101"/>
      <c r="Z20" s="101"/>
      <c r="AA20" s="159"/>
      <c r="AB20" s="94"/>
      <c r="AC20" s="138"/>
      <c r="AD20" s="125"/>
      <c r="AE20" s="125"/>
      <c r="AF20" s="125"/>
      <c r="AG20" s="125"/>
      <c r="AH20" s="126"/>
      <c r="AI20" s="367"/>
      <c r="AJ20" s="6" t="s">
        <v>238</v>
      </c>
      <c r="AK20" s="8">
        <v>4</v>
      </c>
      <c r="AL20" s="6" t="s">
        <v>246</v>
      </c>
    </row>
    <row r="21" spans="1:38" ht="28.5" customHeight="1" x14ac:dyDescent="0.75">
      <c r="A21" s="131"/>
      <c r="B21" s="94"/>
      <c r="C21" s="109"/>
      <c r="D21" s="107"/>
      <c r="E21" s="107"/>
      <c r="F21" s="107"/>
      <c r="G21" s="107"/>
      <c r="H21" s="107"/>
      <c r="I21" s="107"/>
      <c r="J21" s="108"/>
      <c r="K21" s="115"/>
      <c r="L21" s="107"/>
      <c r="M21" s="111" t="s">
        <v>248</v>
      </c>
      <c r="N21" s="116"/>
      <c r="O21" s="94"/>
      <c r="P21" s="158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59"/>
      <c r="AB21" s="94"/>
      <c r="AC21" s="138"/>
      <c r="AD21" s="125"/>
      <c r="AE21" s="125"/>
      <c r="AF21" s="125"/>
      <c r="AG21" s="125"/>
      <c r="AH21" s="126"/>
      <c r="AJ21" s="97" t="s">
        <v>241</v>
      </c>
      <c r="AK21" s="98">
        <f>SUM(AK18:AK20)</f>
        <v>18</v>
      </c>
      <c r="AL21" s="5"/>
    </row>
    <row r="22" spans="1:38" ht="28.5" customHeight="1" x14ac:dyDescent="0.55000000000000004">
      <c r="A22" s="131"/>
      <c r="B22" s="94"/>
      <c r="C22" s="109"/>
      <c r="D22" s="107"/>
      <c r="E22" s="107"/>
      <c r="F22" s="107"/>
      <c r="G22" s="107"/>
      <c r="H22" s="107"/>
      <c r="I22" s="107"/>
      <c r="J22" s="108"/>
      <c r="K22" s="115"/>
      <c r="L22" s="107"/>
      <c r="M22" s="107"/>
      <c r="N22" s="116"/>
      <c r="O22" s="94"/>
      <c r="P22" s="160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59"/>
      <c r="AB22" s="94"/>
      <c r="AC22" s="138"/>
      <c r="AD22" s="125"/>
      <c r="AE22" s="125"/>
      <c r="AF22" s="125"/>
      <c r="AG22" s="125"/>
      <c r="AH22" s="126"/>
      <c r="AK22" s="147">
        <f>AK15+AK21</f>
        <v>96</v>
      </c>
    </row>
    <row r="23" spans="1:38" ht="28.5" customHeight="1" x14ac:dyDescent="0.35">
      <c r="A23" s="131"/>
      <c r="B23" s="94"/>
      <c r="C23" s="109"/>
      <c r="D23" s="107"/>
      <c r="E23" s="107"/>
      <c r="F23" s="107"/>
      <c r="G23" s="107"/>
      <c r="H23" s="107"/>
      <c r="I23" s="107"/>
      <c r="J23" s="108"/>
      <c r="K23" s="115"/>
      <c r="L23" s="107"/>
      <c r="M23" s="107"/>
      <c r="N23" s="116"/>
      <c r="O23" s="94"/>
      <c r="P23" s="158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59"/>
      <c r="AB23" s="94"/>
      <c r="AC23" s="138"/>
      <c r="AD23" s="125"/>
      <c r="AE23" s="125"/>
      <c r="AF23" s="125"/>
      <c r="AG23" s="125"/>
      <c r="AH23" s="126"/>
    </row>
    <row r="24" spans="1:38" ht="28.5" customHeight="1" thickBot="1" x14ac:dyDescent="0.4">
      <c r="A24" s="132"/>
      <c r="B24" s="94"/>
      <c r="C24" s="112"/>
      <c r="D24" s="113"/>
      <c r="E24" s="113"/>
      <c r="F24" s="113"/>
      <c r="G24" s="113"/>
      <c r="H24" s="113"/>
      <c r="I24" s="113"/>
      <c r="J24" s="114"/>
      <c r="K24" s="118"/>
      <c r="L24" s="113"/>
      <c r="M24" s="113"/>
      <c r="N24" s="119"/>
      <c r="O24" s="94"/>
      <c r="P24" s="161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3"/>
      <c r="AB24" s="94"/>
      <c r="AC24" s="144"/>
      <c r="AD24" s="145"/>
      <c r="AE24" s="145"/>
      <c r="AF24" s="145"/>
      <c r="AG24" s="145"/>
      <c r="AH24" s="146"/>
    </row>
    <row r="25" spans="1:38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100"/>
      <c r="AC25" s="94"/>
      <c r="AD25" s="94"/>
      <c r="AE25" s="94"/>
      <c r="AF25" s="94"/>
      <c r="AG25" s="94"/>
      <c r="AH25" s="94"/>
    </row>
    <row r="26" spans="1:38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100"/>
      <c r="AC26" s="94"/>
      <c r="AD26" s="94"/>
      <c r="AE26" s="94"/>
      <c r="AF26" s="94"/>
      <c r="AG26" s="94"/>
      <c r="AH26" s="94"/>
    </row>
    <row r="27" spans="1:38" x14ac:dyDescent="0.3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</row>
    <row r="28" spans="1:38" x14ac:dyDescent="0.3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148">
        <v>6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</row>
    <row r="29" spans="1:38" x14ac:dyDescent="0.3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</row>
    <row r="30" spans="1:38" x14ac:dyDescent="0.3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</row>
    <row r="31" spans="1:38" x14ac:dyDescent="0.3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</row>
  </sheetData>
  <mergeCells count="2">
    <mergeCell ref="AI17:AI20"/>
    <mergeCell ref="AI4:AI14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K10" sqref="K10"/>
    </sheetView>
  </sheetViews>
  <sheetFormatPr baseColWidth="10" defaultRowHeight="14.5" x14ac:dyDescent="0.35"/>
  <cols>
    <col min="2" max="2" width="16" customWidth="1"/>
  </cols>
  <sheetData>
    <row r="1" spans="2:7" x14ac:dyDescent="0.35">
      <c r="B1" s="371" t="s">
        <v>199</v>
      </c>
      <c r="C1" s="371"/>
      <c r="D1" s="371"/>
      <c r="E1" s="371"/>
      <c r="F1" s="371"/>
      <c r="G1" s="371"/>
    </row>
    <row r="2" spans="2:7" x14ac:dyDescent="0.35">
      <c r="B2" s="15" t="s">
        <v>36</v>
      </c>
      <c r="C2" s="29"/>
      <c r="D2" s="29" t="s">
        <v>37</v>
      </c>
      <c r="E2" s="29" t="s">
        <v>38</v>
      </c>
      <c r="F2" s="29" t="s">
        <v>39</v>
      </c>
      <c r="G2" s="29" t="s">
        <v>40</v>
      </c>
    </row>
    <row r="3" spans="2:7" x14ac:dyDescent="0.35">
      <c r="B3" s="28" t="s">
        <v>41</v>
      </c>
      <c r="C3" s="28" t="s">
        <v>42</v>
      </c>
      <c r="D3" s="13">
        <v>219</v>
      </c>
      <c r="E3" s="13">
        <v>10</v>
      </c>
      <c r="F3" s="13">
        <f>D3*E3</f>
        <v>2190</v>
      </c>
      <c r="G3" s="13">
        <f>E3*98</f>
        <v>980</v>
      </c>
    </row>
    <row r="4" spans="2:7" x14ac:dyDescent="0.35">
      <c r="B4" s="28" t="s">
        <v>43</v>
      </c>
      <c r="C4" s="28" t="s">
        <v>44</v>
      </c>
      <c r="D4" s="13">
        <v>294</v>
      </c>
      <c r="E4" s="13">
        <v>20</v>
      </c>
      <c r="F4" s="13">
        <f t="shared" ref="F4:F8" si="0">D4*E4</f>
        <v>5880</v>
      </c>
      <c r="G4" s="13">
        <f t="shared" ref="G4:G8" si="1">E4*98</f>
        <v>1960</v>
      </c>
    </row>
    <row r="5" spans="2:7" x14ac:dyDescent="0.35">
      <c r="B5" s="28" t="s">
        <v>197</v>
      </c>
      <c r="C5" s="28" t="s">
        <v>198</v>
      </c>
      <c r="D5" s="13">
        <v>350</v>
      </c>
      <c r="E5" s="13">
        <v>8</v>
      </c>
      <c r="F5" s="13">
        <v>1400</v>
      </c>
      <c r="G5" s="13">
        <v>392</v>
      </c>
    </row>
    <row r="6" spans="2:7" x14ac:dyDescent="0.35">
      <c r="B6" s="28" t="s">
        <v>45</v>
      </c>
      <c r="C6" s="28" t="s">
        <v>46</v>
      </c>
      <c r="D6" s="13">
        <v>240</v>
      </c>
      <c r="E6" s="13">
        <v>4</v>
      </c>
      <c r="F6" s="13">
        <f t="shared" si="0"/>
        <v>960</v>
      </c>
      <c r="G6" s="13">
        <f t="shared" si="1"/>
        <v>392</v>
      </c>
    </row>
    <row r="7" spans="2:7" x14ac:dyDescent="0.35">
      <c r="B7" s="28" t="s">
        <v>47</v>
      </c>
      <c r="C7" s="28" t="s">
        <v>48</v>
      </c>
      <c r="D7" s="13">
        <v>350</v>
      </c>
      <c r="E7" s="13">
        <v>1</v>
      </c>
      <c r="F7" s="13">
        <f t="shared" si="0"/>
        <v>350</v>
      </c>
      <c r="G7" s="13">
        <f t="shared" si="1"/>
        <v>98</v>
      </c>
    </row>
    <row r="8" spans="2:7" x14ac:dyDescent="0.35">
      <c r="B8" s="28" t="s">
        <v>49</v>
      </c>
      <c r="C8" s="28" t="s">
        <v>50</v>
      </c>
      <c r="D8" s="13">
        <v>425</v>
      </c>
      <c r="E8" s="13">
        <v>8</v>
      </c>
      <c r="F8" s="13">
        <f t="shared" si="0"/>
        <v>3400</v>
      </c>
      <c r="G8" s="13">
        <f t="shared" si="1"/>
        <v>784</v>
      </c>
    </row>
    <row r="9" spans="2:7" x14ac:dyDescent="0.35">
      <c r="B9" s="28"/>
      <c r="C9" s="28"/>
      <c r="D9" s="13"/>
      <c r="E9" s="14">
        <f>SUM(E3:E8)</f>
        <v>51</v>
      </c>
      <c r="F9" s="14">
        <f t="shared" ref="F9:G9" si="2">SUM(F3:F8)</f>
        <v>14180</v>
      </c>
      <c r="G9" s="14">
        <f t="shared" si="2"/>
        <v>4606</v>
      </c>
    </row>
    <row r="11" spans="2:7" x14ac:dyDescent="0.35">
      <c r="B11" s="372" t="s">
        <v>200</v>
      </c>
      <c r="C11" s="372"/>
      <c r="D11" s="372"/>
      <c r="E11" s="372"/>
      <c r="F11" s="372"/>
      <c r="G11" s="372"/>
    </row>
    <row r="12" spans="2:7" x14ac:dyDescent="0.35">
      <c r="B12" s="15" t="s">
        <v>36</v>
      </c>
      <c r="C12" s="29"/>
      <c r="D12" s="29" t="s">
        <v>37</v>
      </c>
      <c r="E12" s="29" t="s">
        <v>38</v>
      </c>
      <c r="F12" s="29" t="s">
        <v>39</v>
      </c>
      <c r="G12" s="29" t="s">
        <v>40</v>
      </c>
    </row>
    <row r="13" spans="2:7" x14ac:dyDescent="0.35">
      <c r="B13" s="28" t="s">
        <v>41</v>
      </c>
      <c r="C13" s="28" t="s">
        <v>42</v>
      </c>
      <c r="D13" s="13">
        <v>219</v>
      </c>
      <c r="E13" s="13">
        <v>7</v>
      </c>
      <c r="F13" s="13">
        <f>D13*E13</f>
        <v>1533</v>
      </c>
      <c r="G13" s="13">
        <f>E13*98</f>
        <v>686</v>
      </c>
    </row>
    <row r="14" spans="2:7" x14ac:dyDescent="0.35">
      <c r="B14" s="28" t="s">
        <v>43</v>
      </c>
      <c r="C14" s="28" t="s">
        <v>44</v>
      </c>
      <c r="D14" s="13">
        <v>294</v>
      </c>
      <c r="E14" s="13">
        <v>10</v>
      </c>
      <c r="F14" s="13">
        <f t="shared" ref="F14:F18" si="3">D14*E14</f>
        <v>2940</v>
      </c>
      <c r="G14" s="13">
        <f t="shared" ref="G14:G18" si="4">E14*98</f>
        <v>980</v>
      </c>
    </row>
    <row r="15" spans="2:7" x14ac:dyDescent="0.35">
      <c r="B15" s="28" t="s">
        <v>197</v>
      </c>
      <c r="C15" s="28" t="s">
        <v>198</v>
      </c>
      <c r="D15" s="79">
        <v>350</v>
      </c>
      <c r="E15" s="13">
        <v>4</v>
      </c>
      <c r="F15" s="13">
        <f t="shared" si="3"/>
        <v>1400</v>
      </c>
      <c r="G15" s="13">
        <f t="shared" si="4"/>
        <v>392</v>
      </c>
    </row>
    <row r="16" spans="2:7" x14ac:dyDescent="0.35">
      <c r="B16" s="28" t="s">
        <v>45</v>
      </c>
      <c r="C16" s="28" t="s">
        <v>46</v>
      </c>
      <c r="D16" s="13">
        <v>240</v>
      </c>
      <c r="E16" s="13">
        <v>4</v>
      </c>
      <c r="F16" s="13">
        <f t="shared" si="3"/>
        <v>960</v>
      </c>
      <c r="G16" s="13">
        <f t="shared" si="4"/>
        <v>392</v>
      </c>
    </row>
    <row r="17" spans="2:7" x14ac:dyDescent="0.35">
      <c r="B17" s="28" t="s">
        <v>47</v>
      </c>
      <c r="C17" s="28" t="s">
        <v>48</v>
      </c>
      <c r="D17" s="13">
        <v>350</v>
      </c>
      <c r="E17" s="13">
        <v>3</v>
      </c>
      <c r="F17" s="13">
        <f t="shared" si="3"/>
        <v>1050</v>
      </c>
      <c r="G17" s="13">
        <f t="shared" si="4"/>
        <v>294</v>
      </c>
    </row>
    <row r="18" spans="2:7" x14ac:dyDescent="0.35">
      <c r="B18" s="28" t="s">
        <v>49</v>
      </c>
      <c r="C18" s="28" t="s">
        <v>50</v>
      </c>
      <c r="D18" s="13">
        <v>425</v>
      </c>
      <c r="E18" s="13">
        <v>20</v>
      </c>
      <c r="F18" s="13">
        <f t="shared" si="3"/>
        <v>8500</v>
      </c>
      <c r="G18" s="13">
        <f t="shared" si="4"/>
        <v>1960</v>
      </c>
    </row>
    <row r="19" spans="2:7" x14ac:dyDescent="0.35">
      <c r="B19" s="28"/>
      <c r="C19" s="28"/>
      <c r="D19" s="13"/>
      <c r="E19" s="14">
        <f>SUM(E13:E18)</f>
        <v>48</v>
      </c>
      <c r="F19" s="14">
        <f t="shared" ref="F19:G19" si="5">SUM(F13:F18)</f>
        <v>16383</v>
      </c>
      <c r="G19" s="14">
        <f t="shared" si="5"/>
        <v>4704</v>
      </c>
    </row>
  </sheetData>
  <mergeCells count="2">
    <mergeCell ref="B1:G1"/>
    <mergeCell ref="B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"/>
  <sheetViews>
    <sheetView zoomScale="70" zoomScaleNormal="70" workbookViewId="0">
      <selection activeCell="D4" sqref="D4"/>
    </sheetView>
  </sheetViews>
  <sheetFormatPr baseColWidth="10" defaultColWidth="10.90625" defaultRowHeight="15.5" x14ac:dyDescent="0.35"/>
  <cols>
    <col min="1" max="1" width="2.08984375" style="5" customWidth="1"/>
    <col min="2" max="2" width="34.54296875" style="28" customWidth="1"/>
    <col min="3" max="3" width="10.90625" style="46"/>
    <col min="4" max="4" width="33.1796875" style="28" customWidth="1"/>
    <col min="5" max="5" width="26.54296875" style="28" customWidth="1"/>
    <col min="6" max="6" width="10.453125" style="46" customWidth="1"/>
    <col min="7" max="7" width="28.1796875" style="28" customWidth="1"/>
    <col min="8" max="8" width="22.453125" style="5" customWidth="1"/>
    <col min="9" max="9" width="3.1796875" style="5" customWidth="1"/>
    <col min="10" max="10" width="20" style="5" customWidth="1"/>
    <col min="11" max="11" width="13.453125" style="5" customWidth="1"/>
    <col min="12" max="12" width="13.54296875" style="5" customWidth="1"/>
    <col min="13" max="13" width="17.1796875" style="5" customWidth="1"/>
    <col min="14" max="14" width="6.1796875" style="5" customWidth="1"/>
    <col min="15" max="15" width="2.54296875" style="5" customWidth="1"/>
    <col min="16" max="16" width="12.08984375" style="5" customWidth="1"/>
    <col min="17" max="47" width="10.90625" style="5"/>
    <col min="48" max="16384" width="10.90625" style="28"/>
  </cols>
  <sheetData>
    <row r="1" spans="1:47" ht="24" customHeight="1" x14ac:dyDescent="0.35">
      <c r="B1" s="6"/>
      <c r="C1" s="360" t="s">
        <v>0</v>
      </c>
      <c r="D1" s="360"/>
      <c r="E1" s="8"/>
      <c r="F1" s="361" t="s">
        <v>1</v>
      </c>
      <c r="G1" s="361"/>
      <c r="K1" s="363" t="s">
        <v>56</v>
      </c>
      <c r="L1" s="363"/>
      <c r="N1" s="364" t="s">
        <v>130</v>
      </c>
      <c r="O1" s="364"/>
      <c r="P1" s="42">
        <f>499+236</f>
        <v>735</v>
      </c>
    </row>
    <row r="2" spans="1:47" ht="16.5" customHeight="1" x14ac:dyDescent="0.35">
      <c r="B2" s="6"/>
      <c r="C2" s="42" t="s">
        <v>6</v>
      </c>
      <c r="D2" s="6"/>
      <c r="E2" s="6"/>
      <c r="F2" s="42" t="s">
        <v>6</v>
      </c>
      <c r="G2" s="6"/>
      <c r="H2" s="17">
        <f>C4+C5</f>
        <v>49176</v>
      </c>
      <c r="J2" s="17"/>
      <c r="K2" s="33">
        <v>66</v>
      </c>
      <c r="L2" s="34">
        <f>C27-17157</f>
        <v>73269</v>
      </c>
    </row>
    <row r="3" spans="1:47" ht="16.5" customHeight="1" x14ac:dyDescent="0.35">
      <c r="B3" s="9" t="s">
        <v>11</v>
      </c>
      <c r="C3" s="42"/>
      <c r="D3" s="6"/>
      <c r="E3" s="9" t="s">
        <v>177</v>
      </c>
      <c r="F3" s="42"/>
      <c r="G3" s="69"/>
      <c r="H3" s="17">
        <f>H2/66</f>
        <v>745.09090909090912</v>
      </c>
      <c r="P3" s="53"/>
      <c r="Q3" s="54"/>
      <c r="R3" s="55"/>
    </row>
    <row r="4" spans="1:47" s="1" customFormat="1" ht="28" customHeight="1" x14ac:dyDescent="0.35">
      <c r="A4" s="5"/>
      <c r="B4" s="6" t="s">
        <v>144</v>
      </c>
      <c r="C4" s="78">
        <f>96*350</f>
        <v>33600</v>
      </c>
      <c r="D4" s="6" t="s">
        <v>150</v>
      </c>
      <c r="E4" s="74" t="s">
        <v>178</v>
      </c>
      <c r="F4" s="71">
        <f>M7</f>
        <v>6920</v>
      </c>
      <c r="G4" s="70" t="s">
        <v>171</v>
      </c>
      <c r="H4" s="5" t="s">
        <v>174</v>
      </c>
      <c r="I4" s="5"/>
      <c r="J4" s="5"/>
      <c r="K4" s="5"/>
      <c r="L4" s="5"/>
      <c r="M4" s="5"/>
      <c r="N4" s="5"/>
      <c r="O4" s="5"/>
      <c r="P4" s="53"/>
      <c r="Q4" s="54"/>
      <c r="R4" s="5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" customFormat="1" ht="28" customHeight="1" x14ac:dyDescent="0.35">
      <c r="A5" s="5"/>
      <c r="B5" s="6" t="s">
        <v>145</v>
      </c>
      <c r="C5" s="78">
        <f>236*66</f>
        <v>15576</v>
      </c>
      <c r="D5" s="6" t="s">
        <v>34</v>
      </c>
      <c r="E5" s="74" t="s">
        <v>157</v>
      </c>
      <c r="F5" s="59">
        <f>M9</f>
        <v>5450</v>
      </c>
      <c r="G5" s="12" t="s">
        <v>182</v>
      </c>
      <c r="H5" s="5"/>
      <c r="I5" s="5"/>
      <c r="J5" s="5"/>
      <c r="K5" s="5"/>
      <c r="L5" s="5"/>
      <c r="M5" s="5"/>
      <c r="N5" s="5"/>
      <c r="O5" s="5"/>
      <c r="P5" s="56"/>
      <c r="Q5" s="57"/>
      <c r="R5" s="5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8" customHeight="1" x14ac:dyDescent="0.35">
      <c r="A6" s="5"/>
      <c r="B6" s="6" t="s">
        <v>141</v>
      </c>
      <c r="C6" s="78">
        <f>913*2</f>
        <v>1826</v>
      </c>
      <c r="D6" s="50" t="s">
        <v>186</v>
      </c>
      <c r="E6" s="75" t="s">
        <v>161</v>
      </c>
      <c r="F6" s="42"/>
      <c r="G6" s="6"/>
      <c r="H6" s="17"/>
      <c r="I6" s="5"/>
      <c r="J6" s="5"/>
      <c r="K6" s="30" t="s">
        <v>133</v>
      </c>
      <c r="L6" s="30" t="s">
        <v>131</v>
      </c>
      <c r="M6" s="30" t="s">
        <v>132</v>
      </c>
      <c r="N6" s="30">
        <v>2016</v>
      </c>
      <c r="O6" s="41"/>
      <c r="P6" s="52" t="s">
        <v>152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" customFormat="1" ht="29.15" customHeight="1" x14ac:dyDescent="0.35">
      <c r="A7" s="5"/>
      <c r="B7" s="6" t="s">
        <v>142</v>
      </c>
      <c r="C7" s="78">
        <f>3*518</f>
        <v>1554</v>
      </c>
      <c r="D7" s="6" t="s">
        <v>192</v>
      </c>
      <c r="E7" s="6" t="s">
        <v>160</v>
      </c>
      <c r="F7" s="42">
        <f>M14</f>
        <v>2990</v>
      </c>
      <c r="G7" s="12" t="s">
        <v>191</v>
      </c>
      <c r="H7" s="5"/>
      <c r="I7" s="365" t="s">
        <v>140</v>
      </c>
      <c r="J7" s="37" t="s">
        <v>151</v>
      </c>
      <c r="K7" s="38">
        <v>8</v>
      </c>
      <c r="L7" s="39">
        <f>K7*P$1+370+518</f>
        <v>6768</v>
      </c>
      <c r="M7" s="43">
        <v>6920</v>
      </c>
      <c r="N7" s="5"/>
      <c r="O7" s="40"/>
      <c r="P7" s="51">
        <f>M7-L7</f>
        <v>152</v>
      </c>
      <c r="Q7" s="5"/>
      <c r="R7" s="5">
        <v>2397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" customFormat="1" ht="16.5" customHeight="1" x14ac:dyDescent="0.35">
      <c r="A8" s="5"/>
      <c r="B8" s="6" t="s">
        <v>184</v>
      </c>
      <c r="C8" s="78">
        <f>3*875</f>
        <v>2625</v>
      </c>
      <c r="D8" s="6" t="s">
        <v>190</v>
      </c>
      <c r="E8" s="6" t="s">
        <v>162</v>
      </c>
      <c r="F8" s="42">
        <f>M17+M18+M19</f>
        <v>6450</v>
      </c>
      <c r="G8" s="6" t="s">
        <v>166</v>
      </c>
      <c r="H8" s="76" t="s">
        <v>180</v>
      </c>
      <c r="I8" s="365"/>
      <c r="J8" s="37" t="s">
        <v>173</v>
      </c>
      <c r="K8" s="38">
        <v>24</v>
      </c>
      <c r="L8" s="39">
        <f>K8*P$1+370+913</f>
        <v>18923</v>
      </c>
      <c r="M8" s="43">
        <v>19500</v>
      </c>
      <c r="N8" s="5"/>
      <c r="O8" s="40"/>
      <c r="P8" s="51">
        <f>M8-L8</f>
        <v>577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" customFormat="1" ht="16.5" customHeight="1" x14ac:dyDescent="0.35">
      <c r="A9" s="5"/>
      <c r="B9" s="6" t="s">
        <v>33</v>
      </c>
      <c r="C9" s="78">
        <f>367*4</f>
        <v>1468</v>
      </c>
      <c r="D9" s="6" t="s">
        <v>134</v>
      </c>
      <c r="E9" s="6"/>
      <c r="F9" s="6"/>
      <c r="G9" s="6"/>
      <c r="H9" s="5"/>
      <c r="I9" s="365"/>
      <c r="J9" s="37" t="s">
        <v>137</v>
      </c>
      <c r="K9" s="38">
        <v>6</v>
      </c>
      <c r="L9" s="39">
        <f>K9*P$1+370+518</f>
        <v>5298</v>
      </c>
      <c r="M9" s="43">
        <v>5450</v>
      </c>
      <c r="N9" s="40"/>
      <c r="O9" s="40"/>
      <c r="P9" s="51">
        <f t="shared" ref="P9:P13" si="0">M9-L9</f>
        <v>152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1" customFormat="1" ht="18" customHeight="1" x14ac:dyDescent="0.35">
      <c r="A10" s="5"/>
      <c r="B10" s="9" t="s">
        <v>8</v>
      </c>
      <c r="C10" s="42"/>
      <c r="D10" s="6"/>
      <c r="E10" s="75" t="s">
        <v>179</v>
      </c>
      <c r="F10" s="80">
        <f>M8</f>
        <v>19500</v>
      </c>
      <c r="G10" s="81" t="s">
        <v>176</v>
      </c>
      <c r="H10" s="5" t="s">
        <v>175</v>
      </c>
      <c r="I10" s="365"/>
      <c r="J10" s="37" t="s">
        <v>138</v>
      </c>
      <c r="K10" s="38">
        <v>6</v>
      </c>
      <c r="L10" s="39">
        <f>K10*P$1+370+518</f>
        <v>5298</v>
      </c>
      <c r="M10" s="43">
        <v>5450</v>
      </c>
      <c r="N10" s="40"/>
      <c r="O10" s="40"/>
      <c r="P10" s="51">
        <f t="shared" si="0"/>
        <v>152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" customFormat="1" ht="16.5" customHeight="1" x14ac:dyDescent="0.35">
      <c r="A11" s="5"/>
      <c r="B11" s="6" t="s">
        <v>195</v>
      </c>
      <c r="C11" s="42">
        <v>200</v>
      </c>
      <c r="D11" s="6"/>
      <c r="E11" s="6"/>
      <c r="F11" s="42"/>
      <c r="G11" s="6"/>
      <c r="H11" s="5"/>
      <c r="I11" s="365"/>
      <c r="J11" s="37" t="s">
        <v>122</v>
      </c>
      <c r="K11" s="38">
        <v>6</v>
      </c>
      <c r="L11" s="39">
        <f>K11*P$1+518</f>
        <v>4928</v>
      </c>
      <c r="M11" s="43">
        <v>5080</v>
      </c>
      <c r="N11" s="40">
        <v>4680</v>
      </c>
      <c r="O11" s="40"/>
      <c r="P11" s="51">
        <f t="shared" si="0"/>
        <v>152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1" customFormat="1" ht="16.5" customHeight="1" x14ac:dyDescent="0.35">
      <c r="A12" s="5"/>
      <c r="B12" s="6" t="s">
        <v>135</v>
      </c>
      <c r="C12" s="42">
        <v>550</v>
      </c>
      <c r="D12" s="6"/>
      <c r="E12" s="6" t="s">
        <v>181</v>
      </c>
      <c r="F12" s="42">
        <v>10530</v>
      </c>
      <c r="G12" s="77" t="s">
        <v>185</v>
      </c>
      <c r="H12" s="5" t="s">
        <v>183</v>
      </c>
      <c r="I12" s="365"/>
      <c r="J12" s="37"/>
      <c r="K12" s="38">
        <v>12</v>
      </c>
      <c r="L12" s="39">
        <f>K12*P$1+913</f>
        <v>9733</v>
      </c>
      <c r="M12" s="43">
        <f>F12</f>
        <v>10530</v>
      </c>
      <c r="N12" s="40"/>
      <c r="O12" s="40"/>
      <c r="P12" s="51">
        <f t="shared" si="0"/>
        <v>797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1" customFormat="1" ht="16.5" customHeight="1" x14ac:dyDescent="0.35">
      <c r="A13" s="5"/>
      <c r="B13" s="6" t="s">
        <v>3</v>
      </c>
      <c r="C13" s="42">
        <v>1000</v>
      </c>
      <c r="D13" s="6" t="s">
        <v>147</v>
      </c>
      <c r="E13" s="6"/>
      <c r="F13" s="42"/>
      <c r="G13" s="6"/>
      <c r="H13" s="5"/>
      <c r="I13" s="5"/>
      <c r="J13" s="37"/>
      <c r="K13" s="38">
        <v>9</v>
      </c>
      <c r="L13" s="39">
        <f>K13*P$1+913</f>
        <v>7528</v>
      </c>
      <c r="M13" s="43">
        <f>F13</f>
        <v>0</v>
      </c>
      <c r="N13" s="40"/>
      <c r="O13" s="40"/>
      <c r="P13" s="51">
        <f t="shared" si="0"/>
        <v>-7528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1" customFormat="1" ht="16.5" customHeight="1" x14ac:dyDescent="0.35">
      <c r="A14" s="5"/>
      <c r="B14" s="9" t="s">
        <v>9</v>
      </c>
      <c r="C14" s="42"/>
      <c r="D14" s="6"/>
      <c r="E14" s="6" t="s">
        <v>193</v>
      </c>
      <c r="F14" s="42">
        <v>0</v>
      </c>
      <c r="G14" s="6" t="s">
        <v>194</v>
      </c>
      <c r="H14" s="5"/>
      <c r="I14" s="365" t="s">
        <v>139</v>
      </c>
      <c r="J14" s="37" t="s">
        <v>123</v>
      </c>
      <c r="K14" s="38">
        <v>3</v>
      </c>
      <c r="L14" s="39">
        <f>K14*P$1+518</f>
        <v>2723</v>
      </c>
      <c r="M14" s="43">
        <v>2990</v>
      </c>
      <c r="N14" s="40"/>
      <c r="O14" s="40"/>
      <c r="P14" s="51">
        <f>M14-L14</f>
        <v>267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2" customFormat="1" ht="25.5" customHeight="1" x14ac:dyDescent="0.35">
      <c r="A15" s="5"/>
      <c r="B15" s="6" t="s">
        <v>7</v>
      </c>
      <c r="C15" s="42">
        <v>1000</v>
      </c>
      <c r="D15" s="12" t="s">
        <v>172</v>
      </c>
      <c r="E15" s="6"/>
      <c r="F15" s="42"/>
      <c r="G15" s="6"/>
      <c r="H15" s="5"/>
      <c r="I15" s="365"/>
      <c r="J15" s="37" t="s">
        <v>124</v>
      </c>
      <c r="K15" s="38">
        <v>3</v>
      </c>
      <c r="L15" s="39">
        <f>K15*P$1+518</f>
        <v>2723</v>
      </c>
      <c r="M15" s="43">
        <v>2990</v>
      </c>
      <c r="N15" s="5"/>
      <c r="O15" s="40"/>
      <c r="P15" s="51">
        <f t="shared" ref="P15:P19" si="1">M15-L15</f>
        <v>267</v>
      </c>
      <c r="Q15" s="5"/>
      <c r="R15" s="17">
        <f>M14*2</f>
        <v>5980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2" customFormat="1" ht="16.5" customHeight="1" x14ac:dyDescent="0.35">
      <c r="A16" s="5"/>
      <c r="B16" s="6" t="s">
        <v>196</v>
      </c>
      <c r="C16" s="42">
        <v>2000</v>
      </c>
      <c r="D16" s="6"/>
      <c r="E16" s="6"/>
      <c r="F16" s="42"/>
      <c r="G16" s="6"/>
      <c r="H16" s="5"/>
      <c r="I16" s="365"/>
      <c r="J16" s="2" t="s">
        <v>159</v>
      </c>
      <c r="K16" s="67">
        <v>6</v>
      </c>
      <c r="N16" s="40"/>
      <c r="O16" s="40"/>
      <c r="P16" s="5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2" customFormat="1" ht="16.5" customHeight="1" x14ac:dyDescent="0.35">
      <c r="A17" s="5"/>
      <c r="B17" s="6" t="s">
        <v>187</v>
      </c>
      <c r="C17" s="42">
        <v>2500</v>
      </c>
      <c r="D17" s="6"/>
      <c r="E17" s="6"/>
      <c r="F17" s="42"/>
      <c r="G17" s="6"/>
      <c r="H17" s="5"/>
      <c r="I17" s="365"/>
      <c r="J17" s="37" t="s">
        <v>125</v>
      </c>
      <c r="K17" s="38">
        <v>2</v>
      </c>
      <c r="L17" s="39">
        <f>K17*P$1+518</f>
        <v>1988</v>
      </c>
      <c r="M17" s="43">
        <v>2150</v>
      </c>
      <c r="N17" s="40">
        <v>2870</v>
      </c>
      <c r="O17" s="40"/>
      <c r="P17" s="51">
        <f t="shared" si="1"/>
        <v>162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2" customFormat="1" ht="21" customHeight="1" x14ac:dyDescent="0.35">
      <c r="A18" s="5"/>
      <c r="B18" s="6" t="s">
        <v>188</v>
      </c>
      <c r="C18" s="42">
        <v>2500</v>
      </c>
      <c r="D18" s="6" t="s">
        <v>189</v>
      </c>
      <c r="E18" s="6"/>
      <c r="F18" s="42"/>
      <c r="G18" s="6"/>
      <c r="H18" s="5"/>
      <c r="I18" s="365"/>
      <c r="J18" s="37" t="s">
        <v>126</v>
      </c>
      <c r="K18" s="38">
        <v>2</v>
      </c>
      <c r="L18" s="39">
        <f t="shared" ref="L18:L19" si="2">K18*P$1+518</f>
        <v>1988</v>
      </c>
      <c r="M18" s="43">
        <v>2150</v>
      </c>
      <c r="N18" s="40"/>
      <c r="O18" s="40"/>
      <c r="P18" s="51">
        <f t="shared" si="1"/>
        <v>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3" customFormat="1" ht="42.65" customHeight="1" x14ac:dyDescent="0.35">
      <c r="A19" s="5"/>
      <c r="B19" s="9" t="s">
        <v>10</v>
      </c>
      <c r="C19" s="42"/>
      <c r="D19" s="6"/>
      <c r="E19" s="6"/>
      <c r="F19" s="42"/>
      <c r="G19" s="6"/>
      <c r="H19" s="5"/>
      <c r="I19" s="365"/>
      <c r="J19" s="37" t="s">
        <v>127</v>
      </c>
      <c r="K19" s="38">
        <v>2</v>
      </c>
      <c r="L19" s="39">
        <f t="shared" si="2"/>
        <v>1988</v>
      </c>
      <c r="M19" s="43">
        <v>2150</v>
      </c>
      <c r="N19" s="40"/>
      <c r="O19" s="40"/>
      <c r="P19" s="51">
        <f t="shared" si="1"/>
        <v>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3" customFormat="1" ht="16.5" customHeight="1" x14ac:dyDescent="0.35">
      <c r="A20" s="5"/>
      <c r="B20" s="16" t="s">
        <v>55</v>
      </c>
      <c r="C20" s="42"/>
      <c r="D20" s="12" t="s">
        <v>146</v>
      </c>
      <c r="E20" s="6"/>
      <c r="F20" s="42"/>
      <c r="G20" s="6"/>
      <c r="H20" s="5"/>
      <c r="I20" s="5"/>
      <c r="J20" s="44"/>
      <c r="K20" s="60"/>
      <c r="L20" s="61"/>
      <c r="M20" s="43"/>
      <c r="N20" s="32"/>
      <c r="O20" s="32"/>
      <c r="P20" s="51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3" customFormat="1" ht="16.5" customHeight="1" x14ac:dyDescent="0.35">
      <c r="A21" s="5"/>
      <c r="B21" s="6" t="s">
        <v>53</v>
      </c>
      <c r="C21" s="42">
        <f>(3*6*90)+(4*150)+(6*3*40)</f>
        <v>2940</v>
      </c>
      <c r="D21" s="12" t="s">
        <v>52</v>
      </c>
      <c r="E21" s="6"/>
      <c r="F21" s="42"/>
      <c r="G21" s="6"/>
      <c r="H21" s="5"/>
      <c r="I21" s="5"/>
      <c r="J21" s="62"/>
      <c r="K21" s="60"/>
      <c r="L21" s="61"/>
      <c r="M21" s="43"/>
      <c r="N21" s="32"/>
      <c r="O21" s="32"/>
      <c r="P21" s="51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s="3" customFormat="1" ht="16.5" customHeight="1" x14ac:dyDescent="0.35">
      <c r="A22" s="5"/>
      <c r="B22" s="6" t="s">
        <v>4</v>
      </c>
      <c r="C22" s="42">
        <f>RH!F19</f>
        <v>16383</v>
      </c>
      <c r="D22" s="6" t="s">
        <v>136</v>
      </c>
      <c r="E22" s="6"/>
      <c r="F22" s="42"/>
      <c r="G22" s="6"/>
      <c r="H22" s="5"/>
      <c r="I22" s="5"/>
      <c r="J22" s="5"/>
      <c r="K22" s="68">
        <f>SUM(K7:K21)</f>
        <v>89</v>
      </c>
      <c r="L22" s="34">
        <f>SUM(L7:L21)</f>
        <v>69886</v>
      </c>
      <c r="M22" s="34">
        <f>SUM(M7:M21)</f>
        <v>65360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5">
      <c r="B23" s="6" t="s">
        <v>5</v>
      </c>
      <c r="C23" s="42">
        <f>RH!G19</f>
        <v>4704</v>
      </c>
      <c r="D23" s="6" t="s">
        <v>54</v>
      </c>
      <c r="E23" s="10" t="s">
        <v>12</v>
      </c>
      <c r="F23" s="42">
        <f>C27*0.5</f>
        <v>45213</v>
      </c>
      <c r="G23" s="7" t="s">
        <v>149</v>
      </c>
      <c r="K23" s="35">
        <f>K2-K22</f>
        <v>-23</v>
      </c>
      <c r="L23" s="36">
        <f>L2-L22</f>
        <v>3383</v>
      </c>
      <c r="M23" s="36">
        <f>L2-M22</f>
        <v>7909</v>
      </c>
    </row>
    <row r="24" spans="1:47" x14ac:dyDescent="0.35">
      <c r="B24" s="4"/>
      <c r="C24" s="45"/>
      <c r="D24" s="4"/>
      <c r="E24" s="4"/>
      <c r="F24" s="45"/>
      <c r="G24" s="4"/>
    </row>
    <row r="25" spans="1:47" x14ac:dyDescent="0.35">
      <c r="B25" s="4"/>
      <c r="C25" s="45"/>
      <c r="D25" s="4"/>
      <c r="E25" s="4"/>
      <c r="F25" s="45"/>
      <c r="G25" s="4"/>
    </row>
    <row r="26" spans="1:47" x14ac:dyDescent="0.35">
      <c r="B26" s="4"/>
      <c r="C26" s="45"/>
      <c r="D26" s="4"/>
      <c r="E26" s="4"/>
      <c r="F26" s="45"/>
      <c r="G26" s="4"/>
    </row>
    <row r="27" spans="1:47" x14ac:dyDescent="0.35">
      <c r="B27" s="11" t="s">
        <v>31</v>
      </c>
      <c r="C27" s="47">
        <f>SUM(C3:C26)</f>
        <v>90426</v>
      </c>
      <c r="D27" s="11"/>
      <c r="E27" s="11" t="s">
        <v>31</v>
      </c>
      <c r="F27" s="47">
        <f>SUM(F3:F26)</f>
        <v>97053</v>
      </c>
      <c r="G27" s="11"/>
      <c r="J27" s="17">
        <f>C27-F27</f>
        <v>-6627</v>
      </c>
      <c r="K27" s="17">
        <f>J27/2</f>
        <v>-3313.5</v>
      </c>
    </row>
    <row r="30" spans="1:47" x14ac:dyDescent="0.35">
      <c r="F30" s="46">
        <f>F27-F29</f>
        <v>97053</v>
      </c>
    </row>
    <row r="31" spans="1:47" x14ac:dyDescent="0.35">
      <c r="E31" s="72" t="s">
        <v>148</v>
      </c>
      <c r="F31" s="73">
        <f>F30-C27</f>
        <v>6627</v>
      </c>
    </row>
  </sheetData>
  <mergeCells count="6">
    <mergeCell ref="I14:I19"/>
    <mergeCell ref="C1:D1"/>
    <mergeCell ref="F1:G1"/>
    <mergeCell ref="K1:L1"/>
    <mergeCell ref="N1:O1"/>
    <mergeCell ref="I7:I12"/>
  </mergeCells>
  <pageMargins left="0.25" right="0.25" top="0.75" bottom="0.75" header="0.3" footer="0.3"/>
  <pageSetup paperSize="8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"/>
  <sheetViews>
    <sheetView topLeftCell="B1" zoomScale="76" zoomScaleNormal="76" workbookViewId="0">
      <selection activeCell="E17" sqref="E17"/>
    </sheetView>
  </sheetViews>
  <sheetFormatPr baseColWidth="10" defaultColWidth="10.90625" defaultRowHeight="15.5" x14ac:dyDescent="0.35"/>
  <cols>
    <col min="1" max="1" width="10.90625" style="5"/>
    <col min="2" max="2" width="34.54296875" style="28" customWidth="1"/>
    <col min="3" max="3" width="10.90625" style="46"/>
    <col min="4" max="4" width="33.1796875" style="28" customWidth="1"/>
    <col min="5" max="5" width="26.54296875" style="28" customWidth="1"/>
    <col min="6" max="6" width="10.453125" style="46" customWidth="1"/>
    <col min="7" max="7" width="28.1796875" style="28" customWidth="1"/>
    <col min="8" max="9" width="3.1796875" style="5" customWidth="1"/>
    <col min="10" max="10" width="20" style="5" customWidth="1"/>
    <col min="11" max="11" width="13.453125" style="5" customWidth="1"/>
    <col min="12" max="12" width="13.54296875" style="5" customWidth="1"/>
    <col min="13" max="13" width="17.1796875" style="5" customWidth="1"/>
    <col min="14" max="14" width="6.1796875" style="5" customWidth="1"/>
    <col min="15" max="15" width="2.54296875" style="5" customWidth="1"/>
    <col min="16" max="16" width="12.08984375" style="5" customWidth="1"/>
    <col min="17" max="47" width="10.90625" style="5"/>
    <col min="48" max="16384" width="10.90625" style="28"/>
  </cols>
  <sheetData>
    <row r="1" spans="1:47" ht="24" customHeight="1" x14ac:dyDescent="0.35">
      <c r="B1" s="6"/>
      <c r="C1" s="360" t="s">
        <v>0</v>
      </c>
      <c r="D1" s="360"/>
      <c r="E1" s="8"/>
      <c r="F1" s="361" t="s">
        <v>1</v>
      </c>
      <c r="G1" s="361"/>
      <c r="K1" s="363" t="s">
        <v>56</v>
      </c>
      <c r="L1" s="363"/>
      <c r="N1" s="364" t="s">
        <v>130</v>
      </c>
      <c r="O1" s="364"/>
      <c r="P1" s="42">
        <f>499+236</f>
        <v>735</v>
      </c>
    </row>
    <row r="2" spans="1:47" ht="16.5" customHeight="1" x14ac:dyDescent="0.35">
      <c r="B2" s="6"/>
      <c r="C2" s="42" t="s">
        <v>6</v>
      </c>
      <c r="D2" s="6"/>
      <c r="E2" s="6"/>
      <c r="F2" s="42" t="s">
        <v>6</v>
      </c>
      <c r="G2" s="6"/>
      <c r="K2" s="33">
        <v>66</v>
      </c>
      <c r="L2" s="34">
        <f>C27-17157</f>
        <v>53873</v>
      </c>
    </row>
    <row r="3" spans="1:47" ht="16.5" customHeight="1" x14ac:dyDescent="0.35">
      <c r="B3" s="9" t="s">
        <v>11</v>
      </c>
      <c r="C3" s="42"/>
      <c r="D3" s="6"/>
      <c r="E3" s="9" t="s">
        <v>11</v>
      </c>
      <c r="F3" s="42"/>
      <c r="G3" s="6"/>
      <c r="P3" s="53"/>
      <c r="Q3" s="54"/>
      <c r="R3" s="55"/>
    </row>
    <row r="4" spans="1:47" s="1" customFormat="1" ht="28" customHeight="1" x14ac:dyDescent="0.35">
      <c r="A4" s="5"/>
      <c r="B4" s="6" t="s">
        <v>144</v>
      </c>
      <c r="C4" s="42">
        <f>66*350</f>
        <v>23100</v>
      </c>
      <c r="D4" s="6" t="s">
        <v>150</v>
      </c>
      <c r="E4" s="12" t="s">
        <v>153</v>
      </c>
      <c r="F4" s="58">
        <f>M7+M8</f>
        <v>13840</v>
      </c>
      <c r="G4" s="50" t="s">
        <v>158</v>
      </c>
      <c r="H4" s="5"/>
      <c r="I4" s="5"/>
      <c r="J4" s="5"/>
      <c r="K4" s="5"/>
      <c r="L4" s="5"/>
      <c r="M4" s="5"/>
      <c r="N4" s="5"/>
      <c r="O4" s="5"/>
      <c r="P4" s="53"/>
      <c r="Q4" s="54"/>
      <c r="R4" s="5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" customFormat="1" ht="28" customHeight="1" x14ac:dyDescent="0.35">
      <c r="A5" s="5"/>
      <c r="B5" s="6" t="s">
        <v>145</v>
      </c>
      <c r="C5" s="42">
        <f>236*66</f>
        <v>15576</v>
      </c>
      <c r="D5" s="6" t="s">
        <v>34</v>
      </c>
      <c r="E5" s="12" t="s">
        <v>157</v>
      </c>
      <c r="F5" s="59">
        <f>M9+M10</f>
        <v>10900</v>
      </c>
      <c r="G5" s="12" t="s">
        <v>155</v>
      </c>
      <c r="H5" s="5"/>
      <c r="I5" s="5"/>
      <c r="J5" s="5"/>
      <c r="K5" s="5"/>
      <c r="L5" s="5"/>
      <c r="M5" s="5"/>
      <c r="N5" s="5"/>
      <c r="O5" s="5"/>
      <c r="P5" s="56"/>
      <c r="Q5" s="57"/>
      <c r="R5" s="5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8" customHeight="1" x14ac:dyDescent="0.35">
      <c r="A6" s="5"/>
      <c r="B6" s="6" t="s">
        <v>141</v>
      </c>
      <c r="C6" s="42"/>
      <c r="D6" s="50"/>
      <c r="E6" s="6" t="s">
        <v>161</v>
      </c>
      <c r="F6" s="42">
        <f>M11+M12+M13</f>
        <v>15240</v>
      </c>
      <c r="G6" s="6" t="s">
        <v>156</v>
      </c>
      <c r="H6" s="5"/>
      <c r="I6" s="5"/>
      <c r="J6" s="5"/>
      <c r="K6" s="30" t="s">
        <v>133</v>
      </c>
      <c r="L6" s="30" t="s">
        <v>131</v>
      </c>
      <c r="M6" s="30" t="s">
        <v>132</v>
      </c>
      <c r="N6" s="30">
        <v>2016</v>
      </c>
      <c r="O6" s="41"/>
      <c r="P6" s="52" t="s">
        <v>152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" customFormat="1" ht="29.15" customHeight="1" x14ac:dyDescent="0.35">
      <c r="A7" s="5"/>
      <c r="B7" s="6" t="s">
        <v>142</v>
      </c>
      <c r="C7" s="42">
        <f>10*518</f>
        <v>5180</v>
      </c>
      <c r="D7" s="6" t="s">
        <v>167</v>
      </c>
      <c r="E7" s="6" t="s">
        <v>160</v>
      </c>
      <c r="F7" s="42">
        <f>M14+M15</f>
        <v>5980</v>
      </c>
      <c r="G7" s="12" t="s">
        <v>163</v>
      </c>
      <c r="H7" s="5"/>
      <c r="I7" s="365" t="s">
        <v>140</v>
      </c>
      <c r="J7" s="37" t="s">
        <v>151</v>
      </c>
      <c r="K7" s="38">
        <v>8</v>
      </c>
      <c r="L7" s="39">
        <f>K7*P$1+370+518</f>
        <v>6768</v>
      </c>
      <c r="M7" s="43">
        <v>6920</v>
      </c>
      <c r="N7" s="5"/>
      <c r="O7" s="40"/>
      <c r="P7" s="51">
        <f>M7-L7</f>
        <v>152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" customFormat="1" ht="16.5" customHeight="1" x14ac:dyDescent="0.35">
      <c r="A8" s="5"/>
      <c r="B8" s="6" t="s">
        <v>32</v>
      </c>
      <c r="C8" s="42">
        <f>4*875</f>
        <v>3500</v>
      </c>
      <c r="D8" s="6" t="s">
        <v>170</v>
      </c>
      <c r="E8" s="6" t="s">
        <v>162</v>
      </c>
      <c r="F8" s="42">
        <f>M17+M18+M19+M20</f>
        <v>8600</v>
      </c>
      <c r="G8" s="6" t="s">
        <v>164</v>
      </c>
      <c r="H8" s="5"/>
      <c r="I8" s="365"/>
      <c r="J8" s="37" t="s">
        <v>154</v>
      </c>
      <c r="K8" s="38">
        <v>8</v>
      </c>
      <c r="L8" s="39">
        <f>K8*P$1+370+518</f>
        <v>6768</v>
      </c>
      <c r="M8" s="43">
        <v>6920</v>
      </c>
      <c r="N8" s="40"/>
      <c r="O8" s="40"/>
      <c r="P8" s="51">
        <f t="shared" ref="P8:P13" si="0">M8-L8</f>
        <v>152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" customFormat="1" ht="16.5" customHeight="1" x14ac:dyDescent="0.35">
      <c r="A9" s="5"/>
      <c r="B9" s="6" t="s">
        <v>33</v>
      </c>
      <c r="C9" s="42">
        <f>367*4</f>
        <v>1468</v>
      </c>
      <c r="D9" s="6" t="s">
        <v>134</v>
      </c>
      <c r="E9" s="6"/>
      <c r="F9" s="6"/>
      <c r="G9" s="6"/>
      <c r="H9" s="5"/>
      <c r="I9" s="365"/>
      <c r="J9" s="37" t="s">
        <v>137</v>
      </c>
      <c r="K9" s="38">
        <v>6</v>
      </c>
      <c r="L9" s="39">
        <f>K9*P$1+370+518</f>
        <v>5298</v>
      </c>
      <c r="M9" s="43">
        <v>5450</v>
      </c>
      <c r="N9" s="40"/>
      <c r="O9" s="40"/>
      <c r="P9" s="51">
        <f t="shared" si="0"/>
        <v>152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1" customFormat="1" ht="16.5" customHeight="1" x14ac:dyDescent="0.35">
      <c r="A10" s="5"/>
      <c r="B10" s="9" t="s">
        <v>8</v>
      </c>
      <c r="C10" s="42"/>
      <c r="D10" s="6"/>
      <c r="E10" s="6"/>
      <c r="F10" s="42"/>
      <c r="G10" s="6"/>
      <c r="H10" s="5"/>
      <c r="I10" s="365"/>
      <c r="J10" s="37" t="s">
        <v>138</v>
      </c>
      <c r="K10" s="38">
        <v>6</v>
      </c>
      <c r="L10" s="39">
        <f t="shared" ref="L10" si="1">K10*P$1+370+518</f>
        <v>5298</v>
      </c>
      <c r="M10" s="43">
        <v>5450</v>
      </c>
      <c r="N10" s="40"/>
      <c r="O10" s="40"/>
      <c r="P10" s="51">
        <f t="shared" si="0"/>
        <v>152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" customFormat="1" ht="16.5" customHeight="1" x14ac:dyDescent="0.35">
      <c r="A11" s="5"/>
      <c r="B11" s="6" t="s">
        <v>35</v>
      </c>
      <c r="C11" s="42"/>
      <c r="D11" s="6"/>
      <c r="E11" s="6"/>
      <c r="F11" s="42"/>
      <c r="G11" s="6"/>
      <c r="H11" s="5"/>
      <c r="I11" s="365"/>
      <c r="J11" s="37" t="s">
        <v>122</v>
      </c>
      <c r="K11" s="38">
        <v>6</v>
      </c>
      <c r="L11" s="39">
        <f>K11*P$1+518</f>
        <v>4928</v>
      </c>
      <c r="M11" s="43">
        <v>5080</v>
      </c>
      <c r="N11" s="40">
        <v>4680</v>
      </c>
      <c r="O11" s="40"/>
      <c r="P11" s="51">
        <f t="shared" si="0"/>
        <v>152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1" customFormat="1" ht="16.5" customHeight="1" x14ac:dyDescent="0.35">
      <c r="A12" s="5"/>
      <c r="B12" s="6" t="s">
        <v>135</v>
      </c>
      <c r="C12" s="42">
        <v>550</v>
      </c>
      <c r="D12" s="6"/>
      <c r="E12" s="6"/>
      <c r="F12" s="42"/>
      <c r="G12" s="6"/>
      <c r="H12" s="5"/>
      <c r="I12" s="365"/>
      <c r="J12" s="37" t="s">
        <v>123</v>
      </c>
      <c r="K12" s="38">
        <v>6</v>
      </c>
      <c r="L12" s="39">
        <f>K12*P$1+518</f>
        <v>4928</v>
      </c>
      <c r="M12" s="43">
        <v>5080</v>
      </c>
      <c r="N12" s="40"/>
      <c r="O12" s="40"/>
      <c r="P12" s="51">
        <f t="shared" si="0"/>
        <v>152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1" customFormat="1" ht="16.5" customHeight="1" x14ac:dyDescent="0.35">
      <c r="A13" s="5"/>
      <c r="B13" s="6" t="s">
        <v>3</v>
      </c>
      <c r="C13" s="42">
        <v>1000</v>
      </c>
      <c r="D13" s="6" t="s">
        <v>147</v>
      </c>
      <c r="E13" s="6"/>
      <c r="F13" s="42"/>
      <c r="G13" s="6"/>
      <c r="H13" s="5"/>
      <c r="I13" s="5"/>
      <c r="J13" s="37" t="s">
        <v>124</v>
      </c>
      <c r="K13" s="38">
        <v>6</v>
      </c>
      <c r="L13" s="39">
        <f>K13*P$1+518</f>
        <v>4928</v>
      </c>
      <c r="M13" s="43">
        <v>5080</v>
      </c>
      <c r="N13" s="40"/>
      <c r="O13" s="40"/>
      <c r="P13" s="51">
        <f t="shared" si="0"/>
        <v>152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1" customFormat="1" ht="16.5" customHeight="1" x14ac:dyDescent="0.35">
      <c r="A14" s="5"/>
      <c r="B14" s="9" t="s">
        <v>9</v>
      </c>
      <c r="C14" s="42"/>
      <c r="D14" s="6"/>
      <c r="E14" s="6"/>
      <c r="F14" s="42"/>
      <c r="G14" s="6"/>
      <c r="H14" s="5"/>
      <c r="I14" s="365" t="s">
        <v>139</v>
      </c>
      <c r="J14" s="37" t="s">
        <v>125</v>
      </c>
      <c r="K14" s="38">
        <v>3</v>
      </c>
      <c r="L14" s="39">
        <f>K14*P$1+518</f>
        <v>2723</v>
      </c>
      <c r="M14" s="43">
        <v>2990</v>
      </c>
      <c r="N14" s="40"/>
      <c r="O14" s="40"/>
      <c r="P14" s="51">
        <f>M14-L14</f>
        <v>267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2" customFormat="1" ht="16.5" customHeight="1" x14ac:dyDescent="0.35">
      <c r="A15" s="5"/>
      <c r="B15" s="6" t="s">
        <v>7</v>
      </c>
      <c r="C15" s="42">
        <v>500</v>
      </c>
      <c r="D15" s="6" t="s">
        <v>51</v>
      </c>
      <c r="E15" s="6"/>
      <c r="F15" s="42"/>
      <c r="G15" s="6"/>
      <c r="H15" s="5"/>
      <c r="I15" s="365"/>
      <c r="J15" s="37" t="s">
        <v>126</v>
      </c>
      <c r="K15" s="38">
        <v>3</v>
      </c>
      <c r="L15" s="39">
        <f>K15*P$1+518</f>
        <v>2723</v>
      </c>
      <c r="M15" s="43">
        <v>2990</v>
      </c>
      <c r="N15" s="5"/>
      <c r="O15" s="40"/>
      <c r="P15" s="51">
        <f t="shared" ref="P15:P20" si="2">M15-L15</f>
        <v>267</v>
      </c>
      <c r="Q15" s="5"/>
      <c r="R15" s="17">
        <f>M14*2</f>
        <v>5980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2" customFormat="1" ht="16.5" customHeight="1" x14ac:dyDescent="0.35">
      <c r="A16" s="5"/>
      <c r="B16" s="6" t="s">
        <v>2</v>
      </c>
      <c r="C16" s="42">
        <v>200</v>
      </c>
      <c r="D16" s="6"/>
      <c r="E16" s="6"/>
      <c r="F16" s="42"/>
      <c r="G16" s="6"/>
      <c r="H16" s="5"/>
      <c r="I16" s="365"/>
      <c r="J16" s="2" t="s">
        <v>159</v>
      </c>
      <c r="K16" s="67">
        <v>6</v>
      </c>
      <c r="N16" s="40"/>
      <c r="O16" s="40"/>
      <c r="P16" s="5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2" customFormat="1" ht="16.5" customHeight="1" x14ac:dyDescent="0.35">
      <c r="A17" s="5"/>
      <c r="B17" s="9" t="s">
        <v>10</v>
      </c>
      <c r="C17" s="42"/>
      <c r="D17" s="6"/>
      <c r="E17" s="6"/>
      <c r="F17" s="42"/>
      <c r="G17" s="6"/>
      <c r="H17" s="5"/>
      <c r="I17" s="365"/>
      <c r="J17" s="37" t="s">
        <v>127</v>
      </c>
      <c r="K17" s="38">
        <v>2</v>
      </c>
      <c r="L17" s="39">
        <f>K17*P$1+518</f>
        <v>1988</v>
      </c>
      <c r="M17" s="43">
        <v>2150</v>
      </c>
      <c r="N17" s="40">
        <v>2870</v>
      </c>
      <c r="O17" s="40"/>
      <c r="P17" s="51">
        <f t="shared" si="2"/>
        <v>162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2" customFormat="1" ht="31.5" customHeight="1" x14ac:dyDescent="0.35">
      <c r="A18" s="5"/>
      <c r="B18" s="16" t="s">
        <v>55</v>
      </c>
      <c r="C18" s="42"/>
      <c r="D18" s="12" t="s">
        <v>146</v>
      </c>
      <c r="E18" s="6"/>
      <c r="F18" s="42"/>
      <c r="G18" s="6"/>
      <c r="H18" s="5"/>
      <c r="I18" s="365"/>
      <c r="J18" s="37" t="s">
        <v>128</v>
      </c>
      <c r="K18" s="38">
        <v>2</v>
      </c>
      <c r="L18" s="39">
        <f t="shared" ref="L18:L20" si="3">K18*P$1+518</f>
        <v>1988</v>
      </c>
      <c r="M18" s="43">
        <v>2150</v>
      </c>
      <c r="N18" s="40"/>
      <c r="O18" s="40"/>
      <c r="P18" s="51">
        <f t="shared" si="2"/>
        <v>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3" customFormat="1" ht="42.65" customHeight="1" x14ac:dyDescent="0.35">
      <c r="A19" s="5"/>
      <c r="B19" s="6" t="s">
        <v>53</v>
      </c>
      <c r="C19" s="42">
        <f>(3*6*90)+(4*150)+(6*3*40)</f>
        <v>2940</v>
      </c>
      <c r="D19" s="12" t="s">
        <v>52</v>
      </c>
      <c r="E19" s="6"/>
      <c r="F19" s="42"/>
      <c r="G19" s="6"/>
      <c r="H19" s="5"/>
      <c r="I19" s="365"/>
      <c r="J19" s="37" t="s">
        <v>129</v>
      </c>
      <c r="K19" s="38">
        <v>2</v>
      </c>
      <c r="L19" s="39">
        <f t="shared" si="3"/>
        <v>1988</v>
      </c>
      <c r="M19" s="43">
        <v>2150</v>
      </c>
      <c r="N19" s="40"/>
      <c r="O19" s="40"/>
      <c r="P19" s="51">
        <f t="shared" si="2"/>
        <v>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3" customFormat="1" ht="16.5" customHeight="1" x14ac:dyDescent="0.35">
      <c r="A20" s="5"/>
      <c r="B20" s="6" t="s">
        <v>4</v>
      </c>
      <c r="C20" s="42">
        <f>RH!F9</f>
        <v>14180</v>
      </c>
      <c r="D20" s="6" t="s">
        <v>136</v>
      </c>
      <c r="E20" s="6"/>
      <c r="F20" s="42"/>
      <c r="G20" s="6"/>
      <c r="H20" s="5"/>
      <c r="I20" s="5"/>
      <c r="J20" s="44" t="s">
        <v>143</v>
      </c>
      <c r="K20" s="60">
        <v>2</v>
      </c>
      <c r="L20" s="61">
        <f t="shared" si="3"/>
        <v>1988</v>
      </c>
      <c r="M20" s="43">
        <v>2150</v>
      </c>
      <c r="N20" s="32"/>
      <c r="O20" s="32"/>
      <c r="P20" s="51">
        <f t="shared" si="2"/>
        <v>162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3" customFormat="1" ht="16.5" customHeight="1" x14ac:dyDescent="0.35">
      <c r="A21" s="5"/>
      <c r="B21" s="6" t="s">
        <v>5</v>
      </c>
      <c r="C21" s="42">
        <f>C20*0.2</f>
        <v>2836</v>
      </c>
      <c r="D21" s="6" t="s">
        <v>54</v>
      </c>
      <c r="E21" s="6"/>
      <c r="F21" s="42"/>
      <c r="G21" s="6"/>
      <c r="H21" s="5"/>
      <c r="I21" s="5"/>
      <c r="J21" s="62"/>
      <c r="K21" s="63"/>
      <c r="L21" s="64"/>
      <c r="M21" s="64"/>
      <c r="N21" s="65"/>
      <c r="O21" s="65"/>
      <c r="P21" s="6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s="3" customFormat="1" ht="16.5" customHeight="1" x14ac:dyDescent="0.35">
      <c r="A22" s="5"/>
      <c r="B22" s="6"/>
      <c r="C22" s="42"/>
      <c r="D22" s="5"/>
      <c r="E22" s="6"/>
      <c r="F22" s="42"/>
      <c r="G22" s="6"/>
      <c r="H22" s="5"/>
      <c r="I22" s="5"/>
      <c r="J22" s="5"/>
      <c r="K22" s="68">
        <f>SUM(K7:K21)</f>
        <v>66</v>
      </c>
      <c r="L22" s="34">
        <f>SUM(L7:L21)</f>
        <v>52314</v>
      </c>
      <c r="M22" s="34">
        <f>SUM(M7:M21)</f>
        <v>54560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5">
      <c r="B23" s="9"/>
      <c r="C23" s="42"/>
      <c r="D23" s="7"/>
      <c r="E23" s="10" t="s">
        <v>12</v>
      </c>
      <c r="F23" s="42">
        <f>C27*0.305</f>
        <v>21664.149999999998</v>
      </c>
      <c r="G23" s="7" t="s">
        <v>149</v>
      </c>
      <c r="K23" s="35">
        <f>K2-K22</f>
        <v>0</v>
      </c>
      <c r="L23" s="36">
        <f>L2-L22</f>
        <v>1559</v>
      </c>
      <c r="M23" s="36">
        <f>L2-M22</f>
        <v>-687</v>
      </c>
    </row>
    <row r="24" spans="1:47" x14ac:dyDescent="0.35">
      <c r="B24" s="4"/>
      <c r="C24" s="45"/>
      <c r="D24" s="4"/>
      <c r="E24" s="4"/>
      <c r="F24" s="45"/>
      <c r="G24" s="4"/>
    </row>
    <row r="25" spans="1:47" x14ac:dyDescent="0.35">
      <c r="B25" s="4"/>
      <c r="C25" s="45"/>
      <c r="D25" s="4"/>
      <c r="E25" s="4"/>
      <c r="F25" s="45"/>
      <c r="G25" s="4"/>
    </row>
    <row r="26" spans="1:47" x14ac:dyDescent="0.35">
      <c r="B26" s="4"/>
      <c r="C26" s="45"/>
      <c r="D26" s="4"/>
      <c r="E26" s="4"/>
      <c r="F26" s="45"/>
      <c r="G26" s="4"/>
    </row>
    <row r="27" spans="1:47" x14ac:dyDescent="0.35">
      <c r="B27" s="11" t="s">
        <v>31</v>
      </c>
      <c r="C27" s="47">
        <f>SUM(C3:C26)</f>
        <v>71030</v>
      </c>
      <c r="D27" s="11"/>
      <c r="E27" s="11" t="s">
        <v>31</v>
      </c>
      <c r="F27" s="47">
        <f>SUM(F3:F26)</f>
        <v>76224.149999999994</v>
      </c>
      <c r="G27" s="11"/>
      <c r="J27" s="17">
        <f>C27-F27</f>
        <v>-5194.1499999999942</v>
      </c>
      <c r="K27" s="17">
        <f>J27/2</f>
        <v>-2597.0749999999971</v>
      </c>
    </row>
    <row r="29" spans="1:47" x14ac:dyDescent="0.35">
      <c r="F29" s="46">
        <f>SUM(F4:F15)*0.09</f>
        <v>4910.3999999999996</v>
      </c>
    </row>
    <row r="30" spans="1:47" x14ac:dyDescent="0.35">
      <c r="F30" s="46">
        <f>F27-F29</f>
        <v>71313.75</v>
      </c>
    </row>
    <row r="31" spans="1:47" x14ac:dyDescent="0.35">
      <c r="E31" s="48" t="s">
        <v>148</v>
      </c>
      <c r="F31" s="49">
        <f>F30-C27</f>
        <v>283.75</v>
      </c>
    </row>
  </sheetData>
  <mergeCells count="6">
    <mergeCell ref="I14:I19"/>
    <mergeCell ref="C1:D1"/>
    <mergeCell ref="F1:G1"/>
    <mergeCell ref="K1:L1"/>
    <mergeCell ref="N1:O1"/>
    <mergeCell ref="I7:I12"/>
  </mergeCells>
  <pageMargins left="0.25" right="0.25" top="0.75" bottom="0.75" header="0.3" footer="0.3"/>
  <pageSetup paperSize="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Suivi commercialisation </vt:lpstr>
      <vt:lpstr>PLan (VF)</vt:lpstr>
      <vt:lpstr>budget Final action co</vt:lpstr>
      <vt:lpstr>BUDGET final - Croi Form </vt:lpstr>
      <vt:lpstr>Budget SAFE-OPTITEC</vt:lpstr>
      <vt:lpstr>PLan</vt:lpstr>
      <vt:lpstr>RH</vt:lpstr>
      <vt:lpstr>BUDGET PREV ACTION CO</vt:lpstr>
      <vt:lpstr>BUDGET PREV initial</vt:lpstr>
      <vt:lpstr>BUDGET REDUIT</vt:lpstr>
      <vt:lpstr>STAND 2016</vt:lpstr>
      <vt:lpstr>TRAITEUR</vt:lpstr>
      <vt:lpstr>'BUDGET final - Croi Form '!Zone_d_impression</vt:lpstr>
      <vt:lpstr>'BUDGET PREV ACTION CO'!Zone_d_impression</vt:lpstr>
      <vt:lpstr>'BUDGET PREV initial'!Zone_d_impression</vt:lpstr>
      <vt:lpstr>'BUDGET REDUIT'!Zone_d_impression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VIVIANI</dc:creator>
  <cp:lastModifiedBy>Christine ANDO</cp:lastModifiedBy>
  <cp:lastPrinted>2017-10-09T11:45:53Z</cp:lastPrinted>
  <dcterms:created xsi:type="dcterms:W3CDTF">2017-10-06T14:36:39Z</dcterms:created>
  <dcterms:modified xsi:type="dcterms:W3CDTF">2018-12-19T15:29:40Z</dcterms:modified>
</cp:coreProperties>
</file>